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430"/>
  <workbookPr checkCompatibility="1" autoCompressPictures="0"/>
  <bookViews>
    <workbookView xWindow="240" yWindow="100" windowWidth="39480" windowHeight="24760" tabRatio="712" activeTab="1"/>
  </bookViews>
  <sheets>
    <sheet name="Intro" sheetId="11" r:id="rId1"/>
    <sheet name="1a" sheetId="1" r:id="rId2"/>
    <sheet name="1b" sheetId="12" r:id="rId3"/>
    <sheet name="2a" sheetId="16" r:id="rId4"/>
    <sheet name="2b" sheetId="17" r:id="rId5"/>
    <sheet name="3a" sheetId="18" r:id="rId6"/>
    <sheet name="3b" sheetId="19" r:id="rId7"/>
    <sheet name="4a" sheetId="20" r:id="rId8"/>
    <sheet name="4b" sheetId="21" r:id="rId9"/>
    <sheet name="Sammanställning" sheetId="22" r:id="rId10"/>
    <sheet name="Arealläckage" sheetId="9" r:id="rId11"/>
    <sheet name="Reningsgrader" sheetId="10" r:id="rId1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20" l="1"/>
  <c r="O19" i="9"/>
  <c r="P19" i="9"/>
  <c r="L5" i="21"/>
  <c r="L14" i="21"/>
  <c r="C37" i="21"/>
  <c r="L36" i="21"/>
  <c r="O23" i="9"/>
  <c r="C18" i="21"/>
  <c r="C28" i="21"/>
  <c r="O11" i="9"/>
  <c r="C9" i="21"/>
  <c r="O10" i="9"/>
  <c r="C31" i="20"/>
  <c r="E21" i="20"/>
  <c r="F21" i="20"/>
  <c r="G21" i="20"/>
  <c r="H21" i="20"/>
  <c r="I21" i="20"/>
  <c r="J21" i="20"/>
  <c r="K21" i="20"/>
  <c r="L21" i="20"/>
  <c r="C21" i="20"/>
  <c r="O62" i="9"/>
  <c r="C18" i="20"/>
  <c r="O61" i="9"/>
  <c r="C9" i="20"/>
  <c r="C19" i="20"/>
  <c r="C22" i="20"/>
  <c r="C40" i="20"/>
  <c r="C37" i="20"/>
  <c r="C41" i="20"/>
  <c r="P61" i="9"/>
  <c r="D9" i="20"/>
  <c r="D19" i="20"/>
  <c r="P62" i="9"/>
  <c r="D18" i="20"/>
  <c r="Q62" i="9"/>
  <c r="E18" i="20"/>
  <c r="R62" i="9"/>
  <c r="F18" i="20"/>
  <c r="S62" i="9"/>
  <c r="G18" i="20"/>
  <c r="T62" i="9"/>
  <c r="H18" i="20"/>
  <c r="U62" i="9"/>
  <c r="I18" i="20"/>
  <c r="V62" i="9"/>
  <c r="J18" i="20"/>
  <c r="W62" i="9"/>
  <c r="K18" i="20"/>
  <c r="X62" i="9"/>
  <c r="L18" i="20"/>
  <c r="L5" i="20"/>
  <c r="L27" i="20"/>
  <c r="L36" i="20"/>
  <c r="P10" i="9"/>
  <c r="D31" i="20"/>
  <c r="Q10" i="9"/>
  <c r="E31" i="20"/>
  <c r="R10" i="9"/>
  <c r="F31" i="20"/>
  <c r="S10" i="9"/>
  <c r="G31" i="20"/>
  <c r="T10" i="9"/>
  <c r="H31" i="20"/>
  <c r="U10" i="9"/>
  <c r="I31" i="20"/>
  <c r="V10" i="9"/>
  <c r="J31" i="20"/>
  <c r="W10" i="9"/>
  <c r="K31" i="20"/>
  <c r="X10" i="9"/>
  <c r="L31" i="20"/>
  <c r="Q61" i="9"/>
  <c r="E9" i="20"/>
  <c r="R61" i="9"/>
  <c r="F9" i="20"/>
  <c r="F19" i="20"/>
  <c r="S61" i="9"/>
  <c r="G9" i="20"/>
  <c r="T61" i="9"/>
  <c r="H9" i="20"/>
  <c r="H19" i="20"/>
  <c r="U61" i="9"/>
  <c r="I9" i="20"/>
  <c r="V61" i="9"/>
  <c r="J9" i="20"/>
  <c r="J19" i="20"/>
  <c r="W61" i="9"/>
  <c r="K9" i="20"/>
  <c r="X61" i="9"/>
  <c r="L9" i="20"/>
  <c r="L19" i="20"/>
  <c r="C27" i="19"/>
  <c r="C36" i="19"/>
  <c r="C37" i="19"/>
  <c r="C38" i="19"/>
  <c r="L4" i="19"/>
  <c r="L4" i="18"/>
  <c r="L13" i="18"/>
  <c r="C36" i="18"/>
  <c r="L35" i="18"/>
  <c r="L4" i="17"/>
  <c r="L26" i="17"/>
  <c r="L35" i="17"/>
  <c r="L44" i="17"/>
  <c r="C67" i="17"/>
  <c r="L66" i="17"/>
  <c r="C67" i="16"/>
  <c r="C76" i="16"/>
  <c r="C77" i="16"/>
  <c r="C78" i="16"/>
  <c r="L44" i="16"/>
  <c r="L35" i="16"/>
  <c r="L26" i="16"/>
  <c r="L4" i="16"/>
  <c r="L5" i="12"/>
  <c r="L14" i="12"/>
  <c r="L23" i="12"/>
  <c r="C44" i="12"/>
  <c r="L43" i="12"/>
  <c r="L5" i="1"/>
  <c r="L14" i="1"/>
  <c r="C37" i="1"/>
  <c r="L36" i="1"/>
  <c r="D20" i="19"/>
  <c r="E20" i="19"/>
  <c r="F20" i="19"/>
  <c r="G20" i="19"/>
  <c r="H20" i="19"/>
  <c r="I20" i="19"/>
  <c r="J20" i="19"/>
  <c r="K20" i="19"/>
  <c r="L20" i="19"/>
  <c r="C20" i="19"/>
  <c r="C17" i="19"/>
  <c r="C8" i="19"/>
  <c r="C18" i="19"/>
  <c r="C45" i="18"/>
  <c r="D29" i="18"/>
  <c r="E29" i="18"/>
  <c r="F29" i="18"/>
  <c r="G29" i="18"/>
  <c r="H29" i="18"/>
  <c r="I29" i="18"/>
  <c r="J29" i="18"/>
  <c r="K29" i="18"/>
  <c r="L29" i="18"/>
  <c r="C29" i="18"/>
  <c r="C26" i="18"/>
  <c r="C17" i="18"/>
  <c r="C27" i="18"/>
  <c r="C30" i="18"/>
  <c r="C8" i="18"/>
  <c r="C39" i="18"/>
  <c r="C40" i="18"/>
  <c r="L17" i="18"/>
  <c r="L26" i="18"/>
  <c r="L27" i="18"/>
  <c r="D17" i="18"/>
  <c r="D26" i="18"/>
  <c r="D27" i="18"/>
  <c r="E17" i="18"/>
  <c r="E26" i="18"/>
  <c r="E27" i="18"/>
  <c r="F17" i="18"/>
  <c r="F26" i="18"/>
  <c r="F27" i="18"/>
  <c r="G17" i="18"/>
  <c r="G26" i="18"/>
  <c r="G27" i="18"/>
  <c r="H17" i="18"/>
  <c r="H26" i="18"/>
  <c r="H27" i="18"/>
  <c r="I17" i="18"/>
  <c r="I26" i="18"/>
  <c r="I27" i="18"/>
  <c r="J17" i="18"/>
  <c r="J26" i="18"/>
  <c r="J27" i="18"/>
  <c r="K17" i="18"/>
  <c r="K26" i="18"/>
  <c r="K27" i="18"/>
  <c r="D8" i="18"/>
  <c r="E8" i="18"/>
  <c r="F8" i="18"/>
  <c r="G8" i="18"/>
  <c r="H8" i="18"/>
  <c r="I8" i="18"/>
  <c r="J8" i="18"/>
  <c r="K8" i="18"/>
  <c r="L8" i="18"/>
  <c r="K19" i="20"/>
  <c r="I19" i="20"/>
  <c r="G19" i="20"/>
  <c r="E19" i="20"/>
  <c r="L30" i="21"/>
  <c r="K30" i="21"/>
  <c r="J30" i="21"/>
  <c r="I30" i="21"/>
  <c r="H30" i="21"/>
  <c r="G30" i="21"/>
  <c r="F30" i="21"/>
  <c r="E30" i="21"/>
  <c r="D30" i="21"/>
  <c r="C30" i="21"/>
  <c r="L27" i="21"/>
  <c r="K27" i="21"/>
  <c r="J27" i="21"/>
  <c r="I27" i="21"/>
  <c r="H27" i="21"/>
  <c r="G27" i="21"/>
  <c r="F27" i="21"/>
  <c r="E27" i="21"/>
  <c r="D27" i="21"/>
  <c r="C27" i="21"/>
  <c r="X23" i="9"/>
  <c r="L18" i="21"/>
  <c r="L28" i="21"/>
  <c r="W23" i="9"/>
  <c r="K18" i="21"/>
  <c r="K28" i="21"/>
  <c r="V23" i="9"/>
  <c r="J18" i="21"/>
  <c r="J28" i="21"/>
  <c r="T23" i="9"/>
  <c r="U23" i="9"/>
  <c r="I18" i="21"/>
  <c r="I28" i="21"/>
  <c r="H18" i="21"/>
  <c r="H28" i="21"/>
  <c r="H31" i="21"/>
  <c r="R23" i="9"/>
  <c r="S23" i="9"/>
  <c r="G18" i="21"/>
  <c r="G28" i="21"/>
  <c r="F18" i="21"/>
  <c r="F28" i="21"/>
  <c r="Q23" i="9"/>
  <c r="E18" i="21"/>
  <c r="E28" i="21"/>
  <c r="P23" i="9"/>
  <c r="D18" i="21"/>
  <c r="D28" i="21"/>
  <c r="X11" i="9"/>
  <c r="L9" i="21"/>
  <c r="W11" i="9"/>
  <c r="K9" i="21"/>
  <c r="V11" i="9"/>
  <c r="J9" i="21"/>
  <c r="T11" i="9"/>
  <c r="U11" i="9"/>
  <c r="I9" i="21"/>
  <c r="H9" i="21"/>
  <c r="R11" i="9"/>
  <c r="S11" i="9"/>
  <c r="G9" i="21"/>
  <c r="F9" i="21"/>
  <c r="Q11" i="9"/>
  <c r="E9" i="21"/>
  <c r="P11" i="9"/>
  <c r="D9" i="21"/>
  <c r="C42" i="18"/>
  <c r="C25" i="22"/>
  <c r="C10" i="22"/>
  <c r="C12" i="22"/>
  <c r="C43" i="20"/>
  <c r="C27" i="22"/>
  <c r="C21" i="19"/>
  <c r="C30" i="19"/>
  <c r="G22" i="20"/>
  <c r="G40" i="20"/>
  <c r="G41" i="20"/>
  <c r="K22" i="20"/>
  <c r="K40" i="20"/>
  <c r="K41" i="20"/>
  <c r="L26" i="19"/>
  <c r="L66" i="16"/>
  <c r="D31" i="21"/>
  <c r="D40" i="21"/>
  <c r="D41" i="21"/>
  <c r="D43" i="21"/>
  <c r="D28" i="22"/>
  <c r="H40" i="21"/>
  <c r="H41" i="21"/>
  <c r="H43" i="21"/>
  <c r="H28" i="22"/>
  <c r="L31" i="21"/>
  <c r="C31" i="21"/>
  <c r="G31" i="21"/>
  <c r="G40" i="21"/>
  <c r="G41" i="21"/>
  <c r="K31" i="21"/>
  <c r="K40" i="21"/>
  <c r="K41" i="21"/>
  <c r="K43" i="21"/>
  <c r="K28" i="22"/>
  <c r="E31" i="21"/>
  <c r="E40" i="21"/>
  <c r="E41" i="21"/>
  <c r="E43" i="21"/>
  <c r="E28" i="22"/>
  <c r="I31" i="21"/>
  <c r="I40" i="21"/>
  <c r="I41" i="21"/>
  <c r="I43" i="21"/>
  <c r="I28" i="22"/>
  <c r="F31" i="21"/>
  <c r="F40" i="21"/>
  <c r="F41" i="21"/>
  <c r="F43" i="21"/>
  <c r="F28" i="22"/>
  <c r="J31" i="21"/>
  <c r="J40" i="21"/>
  <c r="J41" i="21"/>
  <c r="J43" i="21"/>
  <c r="J28" i="22"/>
  <c r="L40" i="21"/>
  <c r="L41" i="21"/>
  <c r="L43" i="21"/>
  <c r="L28" i="22"/>
  <c r="D22" i="20"/>
  <c r="D40" i="20"/>
  <c r="D41" i="20"/>
  <c r="H22" i="20"/>
  <c r="H40" i="20"/>
  <c r="H41" i="20"/>
  <c r="L22" i="20"/>
  <c r="L40" i="20"/>
  <c r="L41" i="20"/>
  <c r="E22" i="20"/>
  <c r="E40" i="20"/>
  <c r="E41" i="20"/>
  <c r="I22" i="20"/>
  <c r="I40" i="20"/>
  <c r="I41" i="20"/>
  <c r="F22" i="20"/>
  <c r="F40" i="20"/>
  <c r="F41" i="20"/>
  <c r="J22" i="20"/>
  <c r="J40" i="20"/>
  <c r="J41" i="20"/>
  <c r="F43" i="20"/>
  <c r="F27" i="22"/>
  <c r="F12" i="22"/>
  <c r="K43" i="20"/>
  <c r="K27" i="22"/>
  <c r="K12" i="22"/>
  <c r="I43" i="20"/>
  <c r="I27" i="22"/>
  <c r="I12" i="22"/>
  <c r="L43" i="20"/>
  <c r="L27" i="22"/>
  <c r="L12" i="22"/>
  <c r="J43" i="20"/>
  <c r="J27" i="22"/>
  <c r="J12" i="22"/>
  <c r="G43" i="20"/>
  <c r="G27" i="22"/>
  <c r="G12" i="22"/>
  <c r="E12" i="22"/>
  <c r="E43" i="20"/>
  <c r="E27" i="22"/>
  <c r="H12" i="22"/>
  <c r="H43" i="20"/>
  <c r="H27" i="22"/>
  <c r="D43" i="20"/>
  <c r="D27" i="22"/>
  <c r="D12" i="22"/>
  <c r="G13" i="22"/>
  <c r="G43" i="21"/>
  <c r="G28" i="22"/>
  <c r="I13" i="22"/>
  <c r="F13" i="22"/>
  <c r="D13" i="22"/>
  <c r="J13" i="22"/>
  <c r="K13" i="22"/>
  <c r="H13" i="22"/>
  <c r="L13" i="22"/>
  <c r="E13" i="22"/>
  <c r="C40" i="21"/>
  <c r="C41" i="21"/>
  <c r="C43" i="21"/>
  <c r="C28" i="22"/>
  <c r="L17" i="19"/>
  <c r="K17" i="19"/>
  <c r="J17" i="19"/>
  <c r="I17" i="19"/>
  <c r="H17" i="19"/>
  <c r="G17" i="19"/>
  <c r="F17" i="19"/>
  <c r="E17" i="19"/>
  <c r="D17" i="19"/>
  <c r="L8" i="19"/>
  <c r="L18" i="19"/>
  <c r="K8" i="19"/>
  <c r="K18" i="19"/>
  <c r="J8" i="19"/>
  <c r="J18" i="19"/>
  <c r="I8" i="19"/>
  <c r="I18" i="19"/>
  <c r="H8" i="19"/>
  <c r="H18" i="19"/>
  <c r="G8" i="19"/>
  <c r="G18" i="19"/>
  <c r="F8" i="19"/>
  <c r="F18" i="19"/>
  <c r="E8" i="19"/>
  <c r="E18" i="19"/>
  <c r="D8" i="19"/>
  <c r="D18" i="19"/>
  <c r="C46" i="18"/>
  <c r="C47" i="18"/>
  <c r="J30" i="18"/>
  <c r="J39" i="18"/>
  <c r="I30" i="18"/>
  <c r="I39" i="18"/>
  <c r="I40" i="18"/>
  <c r="F30" i="18"/>
  <c r="F39" i="18"/>
  <c r="E30" i="18"/>
  <c r="E39" i="18"/>
  <c r="E40" i="18"/>
  <c r="C76" i="17"/>
  <c r="D60" i="17"/>
  <c r="E60" i="17"/>
  <c r="E57" i="17"/>
  <c r="E39" i="17"/>
  <c r="Q9" i="9"/>
  <c r="E48" i="17"/>
  <c r="E58" i="17"/>
  <c r="E61" i="17"/>
  <c r="F60" i="17"/>
  <c r="G60" i="17"/>
  <c r="H60" i="17"/>
  <c r="I60" i="17"/>
  <c r="I57" i="17"/>
  <c r="I39" i="17"/>
  <c r="T9" i="9"/>
  <c r="U9" i="9"/>
  <c r="I48" i="17"/>
  <c r="I58" i="17"/>
  <c r="I61" i="17"/>
  <c r="J60" i="17"/>
  <c r="K60" i="17"/>
  <c r="L60" i="17"/>
  <c r="C60" i="17"/>
  <c r="C57" i="17"/>
  <c r="C39" i="17"/>
  <c r="O9" i="9"/>
  <c r="C48" i="17"/>
  <c r="C58" i="17"/>
  <c r="C61" i="17"/>
  <c r="D39" i="17"/>
  <c r="P9" i="9"/>
  <c r="D48" i="17"/>
  <c r="D58" i="17"/>
  <c r="F39" i="17"/>
  <c r="R9" i="9"/>
  <c r="F48" i="17"/>
  <c r="F58" i="17"/>
  <c r="G39" i="17"/>
  <c r="S9" i="9"/>
  <c r="G48" i="17"/>
  <c r="G58" i="17"/>
  <c r="H39" i="17"/>
  <c r="H48" i="17"/>
  <c r="H58" i="17"/>
  <c r="J39" i="17"/>
  <c r="V9" i="9"/>
  <c r="J48" i="17"/>
  <c r="J58" i="17"/>
  <c r="K39" i="17"/>
  <c r="W9" i="9"/>
  <c r="K48" i="17"/>
  <c r="K58" i="17"/>
  <c r="L39" i="17"/>
  <c r="X9" i="9"/>
  <c r="L48" i="17"/>
  <c r="L58" i="17"/>
  <c r="D57" i="17"/>
  <c r="F57" i="17"/>
  <c r="G57" i="17"/>
  <c r="H57" i="17"/>
  <c r="J57" i="17"/>
  <c r="K57" i="17"/>
  <c r="L57" i="17"/>
  <c r="D30" i="17"/>
  <c r="E30" i="17"/>
  <c r="F30" i="17"/>
  <c r="G30" i="17"/>
  <c r="H30" i="17"/>
  <c r="I30" i="17"/>
  <c r="J30" i="17"/>
  <c r="K30" i="17"/>
  <c r="L30" i="17"/>
  <c r="C30" i="17"/>
  <c r="C8" i="17"/>
  <c r="C18" i="17"/>
  <c r="C17" i="17"/>
  <c r="D8" i="17"/>
  <c r="E8" i="17"/>
  <c r="F8" i="17"/>
  <c r="G8" i="17"/>
  <c r="H8" i="17"/>
  <c r="H18" i="17"/>
  <c r="I8" i="17"/>
  <c r="J8" i="17"/>
  <c r="J18" i="17"/>
  <c r="K8" i="17"/>
  <c r="L8" i="17"/>
  <c r="D18" i="17"/>
  <c r="L18" i="17"/>
  <c r="L20" i="17"/>
  <c r="K20" i="17"/>
  <c r="J20" i="17"/>
  <c r="I20" i="17"/>
  <c r="H20" i="17"/>
  <c r="G20" i="17"/>
  <c r="F20" i="17"/>
  <c r="E20" i="17"/>
  <c r="D20" i="17"/>
  <c r="C20" i="17"/>
  <c r="C21" i="17"/>
  <c r="L17" i="17"/>
  <c r="K17" i="17"/>
  <c r="J17" i="17"/>
  <c r="I17" i="17"/>
  <c r="H17" i="17"/>
  <c r="G17" i="17"/>
  <c r="F17" i="17"/>
  <c r="E17" i="17"/>
  <c r="D17" i="17"/>
  <c r="K18" i="17"/>
  <c r="I18" i="17"/>
  <c r="G18" i="17"/>
  <c r="F18" i="17"/>
  <c r="E18" i="17"/>
  <c r="F39" i="16"/>
  <c r="F48" i="16"/>
  <c r="F58" i="16"/>
  <c r="D60" i="16"/>
  <c r="E60" i="16"/>
  <c r="F60" i="16"/>
  <c r="G60" i="16"/>
  <c r="H60" i="16"/>
  <c r="I60" i="16"/>
  <c r="J60" i="16"/>
  <c r="K60" i="16"/>
  <c r="L60" i="16"/>
  <c r="C60" i="16"/>
  <c r="D57" i="16"/>
  <c r="E57" i="16"/>
  <c r="F57" i="16"/>
  <c r="G57" i="16"/>
  <c r="H57" i="16"/>
  <c r="I57" i="16"/>
  <c r="J57" i="16"/>
  <c r="K57" i="16"/>
  <c r="L57" i="16"/>
  <c r="C57" i="16"/>
  <c r="D48" i="16"/>
  <c r="E48" i="16"/>
  <c r="G48" i="16"/>
  <c r="H48" i="16"/>
  <c r="I48" i="16"/>
  <c r="J48" i="16"/>
  <c r="K48" i="16"/>
  <c r="L48" i="16"/>
  <c r="C48" i="16"/>
  <c r="D39" i="16"/>
  <c r="E39" i="16"/>
  <c r="E58" i="16"/>
  <c r="G39" i="16"/>
  <c r="H39" i="16"/>
  <c r="I39" i="16"/>
  <c r="I58" i="16"/>
  <c r="J39" i="16"/>
  <c r="J58" i="16"/>
  <c r="K39" i="16"/>
  <c r="L39" i="16"/>
  <c r="E30" i="16"/>
  <c r="F30" i="16"/>
  <c r="G30" i="16"/>
  <c r="H30" i="16"/>
  <c r="I30" i="16"/>
  <c r="J30" i="16"/>
  <c r="K30" i="16"/>
  <c r="L30" i="16"/>
  <c r="D30" i="16"/>
  <c r="C30" i="16"/>
  <c r="C39" i="16"/>
  <c r="C58" i="16"/>
  <c r="D20" i="16"/>
  <c r="E20" i="16"/>
  <c r="F20" i="16"/>
  <c r="G20" i="16"/>
  <c r="H20" i="16"/>
  <c r="I20" i="16"/>
  <c r="J20" i="16"/>
  <c r="K20" i="16"/>
  <c r="L20" i="16"/>
  <c r="C20" i="16"/>
  <c r="C17" i="16"/>
  <c r="D17" i="16"/>
  <c r="E17" i="16"/>
  <c r="F17" i="16"/>
  <c r="G17" i="16"/>
  <c r="H17" i="16"/>
  <c r="I17" i="16"/>
  <c r="J17" i="16"/>
  <c r="K17" i="16"/>
  <c r="L17" i="16"/>
  <c r="C8" i="16"/>
  <c r="C18" i="16"/>
  <c r="C18" i="12"/>
  <c r="L8" i="16"/>
  <c r="L18" i="16"/>
  <c r="K8" i="16"/>
  <c r="K18" i="16"/>
  <c r="J8" i="16"/>
  <c r="J18" i="16"/>
  <c r="I8" i="16"/>
  <c r="I18" i="16"/>
  <c r="H8" i="16"/>
  <c r="H18" i="16"/>
  <c r="G8" i="16"/>
  <c r="G18" i="16"/>
  <c r="F8" i="16"/>
  <c r="F18" i="16"/>
  <c r="E8" i="16"/>
  <c r="E18" i="16"/>
  <c r="D8" i="16"/>
  <c r="D18" i="16"/>
  <c r="C53" i="12"/>
  <c r="C54" i="12"/>
  <c r="C55" i="12"/>
  <c r="D37" i="12"/>
  <c r="O47" i="9"/>
  <c r="P47" i="9"/>
  <c r="D9" i="12"/>
  <c r="D18" i="12"/>
  <c r="D27" i="12"/>
  <c r="D35" i="12"/>
  <c r="D38" i="12"/>
  <c r="D47" i="12"/>
  <c r="E37" i="12"/>
  <c r="Q47" i="9"/>
  <c r="E9" i="12"/>
  <c r="E18" i="12"/>
  <c r="E27" i="12"/>
  <c r="E35" i="12"/>
  <c r="E38" i="12"/>
  <c r="E47" i="12"/>
  <c r="F37" i="12"/>
  <c r="R47" i="9"/>
  <c r="F9" i="12"/>
  <c r="F18" i="12"/>
  <c r="F27" i="12"/>
  <c r="F35" i="12"/>
  <c r="F38" i="12"/>
  <c r="F47" i="12"/>
  <c r="G37" i="12"/>
  <c r="S47" i="9"/>
  <c r="G9" i="12"/>
  <c r="G18" i="12"/>
  <c r="G27" i="12"/>
  <c r="G35" i="12"/>
  <c r="G38" i="12"/>
  <c r="G47" i="12"/>
  <c r="H37" i="12"/>
  <c r="T47" i="9"/>
  <c r="H9" i="12"/>
  <c r="H18" i="12"/>
  <c r="H27" i="12"/>
  <c r="H35" i="12"/>
  <c r="H38" i="12"/>
  <c r="H47" i="12"/>
  <c r="I37" i="12"/>
  <c r="U47" i="9"/>
  <c r="I9" i="12"/>
  <c r="I18" i="12"/>
  <c r="I27" i="12"/>
  <c r="I35" i="12"/>
  <c r="I38" i="12"/>
  <c r="I47" i="12"/>
  <c r="J37" i="12"/>
  <c r="V47" i="9"/>
  <c r="J9" i="12"/>
  <c r="J18" i="12"/>
  <c r="J27" i="12"/>
  <c r="J35" i="12"/>
  <c r="J38" i="12"/>
  <c r="J47" i="12"/>
  <c r="K37" i="12"/>
  <c r="W47" i="9"/>
  <c r="K9" i="12"/>
  <c r="K18" i="12"/>
  <c r="K27" i="12"/>
  <c r="K35" i="12"/>
  <c r="K38" i="12"/>
  <c r="K47" i="12"/>
  <c r="L37" i="12"/>
  <c r="X47" i="9"/>
  <c r="L9" i="12"/>
  <c r="L18" i="12"/>
  <c r="L27" i="12"/>
  <c r="L35" i="12"/>
  <c r="L38" i="12"/>
  <c r="L47" i="12"/>
  <c r="C37" i="12"/>
  <c r="C27" i="12"/>
  <c r="O18" i="9"/>
  <c r="O17" i="9"/>
  <c r="O12" i="9"/>
  <c r="C9" i="1"/>
  <c r="Q17" i="9"/>
  <c r="C46" i="1"/>
  <c r="D30" i="1"/>
  <c r="E30" i="1"/>
  <c r="F30" i="1"/>
  <c r="G30" i="1"/>
  <c r="H30" i="1"/>
  <c r="I30" i="1"/>
  <c r="J30" i="1"/>
  <c r="K30" i="1"/>
  <c r="L30" i="1"/>
  <c r="C30" i="1"/>
  <c r="L27" i="1"/>
  <c r="K27" i="1"/>
  <c r="V64" i="9"/>
  <c r="V63" i="9"/>
  <c r="J27" i="1"/>
  <c r="V60" i="9"/>
  <c r="V58" i="9"/>
  <c r="V56" i="9"/>
  <c r="V51" i="9"/>
  <c r="V49" i="9"/>
  <c r="V48" i="9"/>
  <c r="V45" i="9"/>
  <c r="V44" i="9"/>
  <c r="V43" i="9"/>
  <c r="V42" i="9"/>
  <c r="V41" i="9"/>
  <c r="V38" i="9"/>
  <c r="V36" i="9"/>
  <c r="V34" i="9"/>
  <c r="V32" i="9"/>
  <c r="V30" i="9"/>
  <c r="V19" i="9"/>
  <c r="V18" i="9"/>
  <c r="V17" i="9"/>
  <c r="V12" i="9"/>
  <c r="J9" i="1"/>
  <c r="J18" i="1"/>
  <c r="J28" i="1"/>
  <c r="C18" i="1"/>
  <c r="C28" i="1"/>
  <c r="I18" i="1"/>
  <c r="I28" i="1"/>
  <c r="G18" i="1"/>
  <c r="G28" i="1"/>
  <c r="L18" i="1"/>
  <c r="L28" i="1"/>
  <c r="K18" i="1"/>
  <c r="K28" i="1"/>
  <c r="X17" i="9"/>
  <c r="W17" i="9"/>
  <c r="X12" i="9"/>
  <c r="W12" i="9"/>
  <c r="K9" i="1"/>
  <c r="L9" i="1"/>
  <c r="E27" i="1"/>
  <c r="E18" i="1"/>
  <c r="E28" i="1"/>
  <c r="E9" i="1"/>
  <c r="Q12" i="9"/>
  <c r="T64" i="9"/>
  <c r="U64" i="9"/>
  <c r="T63" i="9"/>
  <c r="U63" i="9"/>
  <c r="I27" i="1"/>
  <c r="T60" i="9"/>
  <c r="U60" i="9"/>
  <c r="T58" i="9"/>
  <c r="U58" i="9"/>
  <c r="T56" i="9"/>
  <c r="U56" i="9"/>
  <c r="T51" i="9"/>
  <c r="U51" i="9"/>
  <c r="T49" i="9"/>
  <c r="U49" i="9"/>
  <c r="T48" i="9"/>
  <c r="U48" i="9"/>
  <c r="T45" i="9"/>
  <c r="U45" i="9"/>
  <c r="T44" i="9"/>
  <c r="U44" i="9"/>
  <c r="T43" i="9"/>
  <c r="U43" i="9"/>
  <c r="T42" i="9"/>
  <c r="U42" i="9"/>
  <c r="T41" i="9"/>
  <c r="U41" i="9"/>
  <c r="T38" i="9"/>
  <c r="U38" i="9"/>
  <c r="T36" i="9"/>
  <c r="U36" i="9"/>
  <c r="T34" i="9"/>
  <c r="U34" i="9"/>
  <c r="T32" i="9"/>
  <c r="U32" i="9"/>
  <c r="T30" i="9"/>
  <c r="U30" i="9"/>
  <c r="T19" i="9"/>
  <c r="U19" i="9"/>
  <c r="T18" i="9"/>
  <c r="U18" i="9"/>
  <c r="T17" i="9"/>
  <c r="U17" i="9"/>
  <c r="T12" i="9"/>
  <c r="U12" i="9"/>
  <c r="I9" i="1"/>
  <c r="G27" i="1"/>
  <c r="R63" i="9"/>
  <c r="S63" i="9"/>
  <c r="R64" i="9"/>
  <c r="S64" i="9"/>
  <c r="R60" i="9"/>
  <c r="S60" i="9"/>
  <c r="R58" i="9"/>
  <c r="S58" i="9"/>
  <c r="R56" i="9"/>
  <c r="S56" i="9"/>
  <c r="R51" i="9"/>
  <c r="S51" i="9"/>
  <c r="R49" i="9"/>
  <c r="S49" i="9"/>
  <c r="R48" i="9"/>
  <c r="S48" i="9"/>
  <c r="R45" i="9"/>
  <c r="S45" i="9"/>
  <c r="R44" i="9"/>
  <c r="S44" i="9"/>
  <c r="R43" i="9"/>
  <c r="S43" i="9"/>
  <c r="R42" i="9"/>
  <c r="S42" i="9"/>
  <c r="R41" i="9"/>
  <c r="S41" i="9"/>
  <c r="R38" i="9"/>
  <c r="S38" i="9"/>
  <c r="R36" i="9"/>
  <c r="S36" i="9"/>
  <c r="R34" i="9"/>
  <c r="S34" i="9"/>
  <c r="R32" i="9"/>
  <c r="S32" i="9"/>
  <c r="R30" i="9"/>
  <c r="S30" i="9"/>
  <c r="R19" i="9"/>
  <c r="S19" i="9"/>
  <c r="R18" i="9"/>
  <c r="S18" i="9"/>
  <c r="R17" i="9"/>
  <c r="S17" i="9"/>
  <c r="R12" i="9"/>
  <c r="S12" i="9"/>
  <c r="F9" i="1"/>
  <c r="O64" i="9"/>
  <c r="P64" i="9"/>
  <c r="O63" i="9"/>
  <c r="P63" i="9"/>
  <c r="D27" i="1"/>
  <c r="O60" i="9"/>
  <c r="P60" i="9"/>
  <c r="O58" i="9"/>
  <c r="P58" i="9"/>
  <c r="O56" i="9"/>
  <c r="P56" i="9"/>
  <c r="O51" i="9"/>
  <c r="P51" i="9"/>
  <c r="O49" i="9"/>
  <c r="P49" i="9"/>
  <c r="O48" i="9"/>
  <c r="P48" i="9"/>
  <c r="O45" i="9"/>
  <c r="P45" i="9"/>
  <c r="O44" i="9"/>
  <c r="P44" i="9"/>
  <c r="O43" i="9"/>
  <c r="P43" i="9"/>
  <c r="O42" i="9"/>
  <c r="P42" i="9"/>
  <c r="O41" i="9"/>
  <c r="P41" i="9"/>
  <c r="O38" i="9"/>
  <c r="P38" i="9"/>
  <c r="O36" i="9"/>
  <c r="P36" i="9"/>
  <c r="O34" i="9"/>
  <c r="P34" i="9"/>
  <c r="O32" i="9"/>
  <c r="P32" i="9"/>
  <c r="O30" i="9"/>
  <c r="P30" i="9"/>
  <c r="P18" i="9"/>
  <c r="P17" i="9"/>
  <c r="P12" i="9"/>
  <c r="E10" i="22"/>
  <c r="E42" i="18"/>
  <c r="E25" i="22"/>
  <c r="I10" i="22"/>
  <c r="I42" i="18"/>
  <c r="I25" i="22"/>
  <c r="J61" i="17"/>
  <c r="F61" i="17"/>
  <c r="C70" i="17"/>
  <c r="C71" i="17"/>
  <c r="C73" i="17"/>
  <c r="C24" i="22"/>
  <c r="C13" i="22"/>
  <c r="K58" i="16"/>
  <c r="K61" i="16"/>
  <c r="G58" i="16"/>
  <c r="G61" i="16"/>
  <c r="F61" i="16"/>
  <c r="L58" i="16"/>
  <c r="H58" i="16"/>
  <c r="H61" i="16"/>
  <c r="D58" i="16"/>
  <c r="D61" i="16"/>
  <c r="C61" i="16"/>
  <c r="I61" i="16"/>
  <c r="E61" i="16"/>
  <c r="J61" i="16"/>
  <c r="L61" i="16"/>
  <c r="J21" i="16"/>
  <c r="C47" i="1"/>
  <c r="C48" i="1"/>
  <c r="D21" i="19"/>
  <c r="H21" i="19"/>
  <c r="L21" i="19"/>
  <c r="C31" i="19"/>
  <c r="G21" i="19"/>
  <c r="K21" i="19"/>
  <c r="G30" i="18"/>
  <c r="G39" i="18"/>
  <c r="G40" i="18"/>
  <c r="K30" i="18"/>
  <c r="K39" i="18"/>
  <c r="K40" i="18"/>
  <c r="F40" i="18"/>
  <c r="J40" i="18"/>
  <c r="F21" i="19"/>
  <c r="J21" i="19"/>
  <c r="E21" i="19"/>
  <c r="I21" i="19"/>
  <c r="D30" i="18"/>
  <c r="D39" i="18"/>
  <c r="D40" i="18"/>
  <c r="H30" i="18"/>
  <c r="H39" i="18"/>
  <c r="H40" i="18"/>
  <c r="L30" i="18"/>
  <c r="L39" i="18"/>
  <c r="L40" i="18"/>
  <c r="C77" i="17"/>
  <c r="C78" i="17"/>
  <c r="D61" i="17"/>
  <c r="H61" i="17"/>
  <c r="L61" i="17"/>
  <c r="G61" i="17"/>
  <c r="K61" i="17"/>
  <c r="F21" i="17"/>
  <c r="J21" i="17"/>
  <c r="E21" i="17"/>
  <c r="E70" i="17"/>
  <c r="I21" i="17"/>
  <c r="I70" i="17"/>
  <c r="D21" i="17"/>
  <c r="H21" i="17"/>
  <c r="L21" i="17"/>
  <c r="G21" i="17"/>
  <c r="K21" i="17"/>
  <c r="C21" i="16"/>
  <c r="D21" i="16"/>
  <c r="H21" i="16"/>
  <c r="L21" i="16"/>
  <c r="G21" i="16"/>
  <c r="K21" i="16"/>
  <c r="F21" i="16"/>
  <c r="E21" i="16"/>
  <c r="I21" i="16"/>
  <c r="H48" i="12"/>
  <c r="D48" i="12"/>
  <c r="L48" i="12"/>
  <c r="E48" i="12"/>
  <c r="I48" i="12"/>
  <c r="J48" i="12"/>
  <c r="C9" i="12"/>
  <c r="H27" i="1"/>
  <c r="F18" i="1"/>
  <c r="F28" i="1"/>
  <c r="C27" i="1"/>
  <c r="C31" i="1"/>
  <c r="C40" i="1"/>
  <c r="C41" i="1"/>
  <c r="D18" i="1"/>
  <c r="D28" i="1"/>
  <c r="D31" i="1"/>
  <c r="H18" i="1"/>
  <c r="H28" i="1"/>
  <c r="F27" i="1"/>
  <c r="G48" i="12"/>
  <c r="K48" i="12"/>
  <c r="L31" i="1"/>
  <c r="L40" i="1"/>
  <c r="L41" i="1"/>
  <c r="L6" i="22"/>
  <c r="J31" i="1"/>
  <c r="J40" i="1"/>
  <c r="J41" i="1"/>
  <c r="K31" i="1"/>
  <c r="K40" i="1"/>
  <c r="K41" i="1"/>
  <c r="K6" i="22"/>
  <c r="G31" i="1"/>
  <c r="I31" i="1"/>
  <c r="I40" i="1"/>
  <c r="I41" i="1"/>
  <c r="E31" i="1"/>
  <c r="E40" i="1"/>
  <c r="E41" i="1"/>
  <c r="E6" i="22"/>
  <c r="G9" i="1"/>
  <c r="D9" i="1"/>
  <c r="H9" i="1"/>
  <c r="I70" i="16"/>
  <c r="I71" i="16"/>
  <c r="I73" i="16"/>
  <c r="I23" i="22"/>
  <c r="F70" i="16"/>
  <c r="F71" i="16"/>
  <c r="K70" i="17"/>
  <c r="L10" i="22"/>
  <c r="L42" i="18"/>
  <c r="L25" i="22"/>
  <c r="J10" i="22"/>
  <c r="J42" i="18"/>
  <c r="J25" i="22"/>
  <c r="H10" i="22"/>
  <c r="H42" i="18"/>
  <c r="H25" i="22"/>
  <c r="K10" i="22"/>
  <c r="K42" i="18"/>
  <c r="K25" i="22"/>
  <c r="C33" i="19"/>
  <c r="C26" i="22"/>
  <c r="C11" i="22"/>
  <c r="F10" i="22"/>
  <c r="F42" i="18"/>
  <c r="F25" i="22"/>
  <c r="D10" i="22"/>
  <c r="D42" i="18"/>
  <c r="D25" i="22"/>
  <c r="G10" i="22"/>
  <c r="G42" i="18"/>
  <c r="G25" i="22"/>
  <c r="J70" i="17"/>
  <c r="J71" i="17"/>
  <c r="L70" i="17"/>
  <c r="L71" i="17"/>
  <c r="D70" i="17"/>
  <c r="D71" i="17"/>
  <c r="C9" i="22"/>
  <c r="I8" i="22"/>
  <c r="I43" i="1"/>
  <c r="I21" i="22"/>
  <c r="I6" i="22"/>
  <c r="D7" i="22"/>
  <c r="D50" i="12"/>
  <c r="D22" i="22"/>
  <c r="G7" i="22"/>
  <c r="G50" i="12"/>
  <c r="G22" i="22"/>
  <c r="L7" i="22"/>
  <c r="L50" i="12"/>
  <c r="L22" i="22"/>
  <c r="K71" i="17"/>
  <c r="H70" i="17"/>
  <c r="F70" i="17"/>
  <c r="F71" i="17"/>
  <c r="C43" i="1"/>
  <c r="C21" i="22"/>
  <c r="C6" i="22"/>
  <c r="I7" i="22"/>
  <c r="I50" i="12"/>
  <c r="I22" i="22"/>
  <c r="H7" i="22"/>
  <c r="H50" i="12"/>
  <c r="H22" i="22"/>
  <c r="H71" i="17"/>
  <c r="G70" i="17"/>
  <c r="G71" i="17"/>
  <c r="K50" i="12"/>
  <c r="K22" i="22"/>
  <c r="K7" i="22"/>
  <c r="E7" i="22"/>
  <c r="E50" i="12"/>
  <c r="E22" i="22"/>
  <c r="J43" i="1"/>
  <c r="J21" i="22"/>
  <c r="J6" i="22"/>
  <c r="J7" i="22"/>
  <c r="J50" i="12"/>
  <c r="J22" i="22"/>
  <c r="F73" i="16"/>
  <c r="F23" i="22"/>
  <c r="F8" i="22"/>
  <c r="I71" i="17"/>
  <c r="I30" i="19"/>
  <c r="I31" i="19"/>
  <c r="K30" i="19"/>
  <c r="K31" i="19"/>
  <c r="H30" i="19"/>
  <c r="H31" i="19"/>
  <c r="F30" i="19"/>
  <c r="F31" i="19"/>
  <c r="L30" i="19"/>
  <c r="L31" i="19"/>
  <c r="J30" i="19"/>
  <c r="J31" i="19"/>
  <c r="E30" i="19"/>
  <c r="E31" i="19"/>
  <c r="G30" i="19"/>
  <c r="G31" i="19"/>
  <c r="D30" i="19"/>
  <c r="D31" i="19"/>
  <c r="H70" i="16"/>
  <c r="H71" i="16"/>
  <c r="G70" i="16"/>
  <c r="G71" i="16"/>
  <c r="C70" i="16"/>
  <c r="C71" i="16"/>
  <c r="E70" i="16"/>
  <c r="E71" i="16"/>
  <c r="L70" i="16"/>
  <c r="L71" i="16"/>
  <c r="J70" i="16"/>
  <c r="J71" i="16"/>
  <c r="K70" i="16"/>
  <c r="K71" i="16"/>
  <c r="D70" i="16"/>
  <c r="D71" i="16"/>
  <c r="E43" i="1"/>
  <c r="E21" i="22"/>
  <c r="K43" i="1"/>
  <c r="K21" i="22"/>
  <c r="L43" i="1"/>
  <c r="L21" i="22"/>
  <c r="H31" i="1"/>
  <c r="H40" i="1"/>
  <c r="H41" i="1"/>
  <c r="E71" i="17"/>
  <c r="F48" i="12"/>
  <c r="C35" i="12"/>
  <c r="C38" i="12"/>
  <c r="C47" i="12"/>
  <c r="C48" i="12"/>
  <c r="F31" i="1"/>
  <c r="F40" i="1"/>
  <c r="F41" i="1"/>
  <c r="D40" i="1"/>
  <c r="D41" i="1"/>
  <c r="G40" i="1"/>
  <c r="G41" i="1"/>
  <c r="D33" i="19"/>
  <c r="D26" i="22"/>
  <c r="D11" i="22"/>
  <c r="I33" i="19"/>
  <c r="I26" i="22"/>
  <c r="I11" i="22"/>
  <c r="E33" i="19"/>
  <c r="E26" i="22"/>
  <c r="E11" i="22"/>
  <c r="L33" i="19"/>
  <c r="L26" i="22"/>
  <c r="L73" i="16"/>
  <c r="L23" i="22"/>
  <c r="L73" i="17"/>
  <c r="L24" i="22"/>
  <c r="L29" i="22"/>
  <c r="L11" i="22"/>
  <c r="H33" i="19"/>
  <c r="H26" i="22"/>
  <c r="H11" i="22"/>
  <c r="J33" i="19"/>
  <c r="J26" i="22"/>
  <c r="J11" i="22"/>
  <c r="F33" i="19"/>
  <c r="F26" i="22"/>
  <c r="F11" i="22"/>
  <c r="G33" i="19"/>
  <c r="G26" i="22"/>
  <c r="G11" i="22"/>
  <c r="K33" i="19"/>
  <c r="K26" i="22"/>
  <c r="K11" i="22"/>
  <c r="G9" i="22"/>
  <c r="G73" i="17"/>
  <c r="G24" i="22"/>
  <c r="C50" i="12"/>
  <c r="C22" i="22"/>
  <c r="C7" i="22"/>
  <c r="E9" i="22"/>
  <c r="E73" i="17"/>
  <c r="E24" i="22"/>
  <c r="L8" i="22"/>
  <c r="D73" i="17"/>
  <c r="D24" i="22"/>
  <c r="D9" i="22"/>
  <c r="G73" i="16"/>
  <c r="G23" i="22"/>
  <c r="G8" i="22"/>
  <c r="F9" i="22"/>
  <c r="F73" i="17"/>
  <c r="F24" i="22"/>
  <c r="D43" i="1"/>
  <c r="D21" i="22"/>
  <c r="D6" i="22"/>
  <c r="H43" i="1"/>
  <c r="H21" i="22"/>
  <c r="H6" i="22"/>
  <c r="D73" i="16"/>
  <c r="D23" i="22"/>
  <c r="D8" i="22"/>
  <c r="E73" i="16"/>
  <c r="E23" i="22"/>
  <c r="E8" i="22"/>
  <c r="L9" i="22"/>
  <c r="K9" i="22"/>
  <c r="K73" i="17"/>
  <c r="K24" i="22"/>
  <c r="G43" i="1"/>
  <c r="G21" i="22"/>
  <c r="G6" i="22"/>
  <c r="H73" i="16"/>
  <c r="H23" i="22"/>
  <c r="H8" i="22"/>
  <c r="I73" i="17"/>
  <c r="I24" i="22"/>
  <c r="I9" i="22"/>
  <c r="F43" i="1"/>
  <c r="F21" i="22"/>
  <c r="F6" i="22"/>
  <c r="J73" i="17"/>
  <c r="J24" i="22"/>
  <c r="J9" i="22"/>
  <c r="J73" i="16"/>
  <c r="J23" i="22"/>
  <c r="J8" i="22"/>
  <c r="F7" i="22"/>
  <c r="F50" i="12"/>
  <c r="F22" i="22"/>
  <c r="K73" i="16"/>
  <c r="K23" i="22"/>
  <c r="K29" i="22"/>
  <c r="K8" i="22"/>
  <c r="C73" i="16"/>
  <c r="C23" i="22"/>
  <c r="C8" i="22"/>
  <c r="H73" i="17"/>
  <c r="H24" i="22"/>
  <c r="H9" i="22"/>
  <c r="I29" i="22"/>
  <c r="I14" i="22"/>
  <c r="E29" i="22"/>
  <c r="C29" i="22"/>
  <c r="J29" i="22"/>
  <c r="G29" i="22"/>
  <c r="L14" i="22"/>
  <c r="C14" i="22"/>
  <c r="J14" i="22"/>
  <c r="H29" i="22"/>
  <c r="E14" i="22"/>
  <c r="H14" i="22"/>
  <c r="G14" i="22"/>
  <c r="D14" i="22"/>
  <c r="F29" i="22"/>
  <c r="K14" i="22"/>
  <c r="F14" i="22"/>
  <c r="D29" i="22"/>
</calcChain>
</file>

<file path=xl/comments1.xml><?xml version="1.0" encoding="utf-8"?>
<comments xmlns="http://schemas.openxmlformats.org/spreadsheetml/2006/main">
  <authors>
    <author>Hannes</author>
  </authors>
  <commentList>
    <comment ref="L60" authorId="0">
      <text>
        <r>
          <rPr>
            <b/>
            <sz val="9"/>
            <color indexed="81"/>
            <rFont val="Tahoma"/>
            <family val="2"/>
          </rPr>
          <t>Hannes:</t>
        </r>
        <r>
          <rPr>
            <sz val="9"/>
            <color indexed="81"/>
            <rFont val="Tahoma"/>
            <family val="2"/>
          </rPr>
          <t xml:space="preserve">
OBS! Saknas data i fliken "reningsgrader"</t>
        </r>
      </text>
    </comment>
  </commentList>
</comments>
</file>

<file path=xl/comments2.xml><?xml version="1.0" encoding="utf-8"?>
<comments xmlns="http://schemas.openxmlformats.org/spreadsheetml/2006/main">
  <authors>
    <author>Hannes</author>
  </authors>
  <commentList>
    <comment ref="B23" authorId="0">
      <text>
        <r>
          <rPr>
            <b/>
            <sz val="9"/>
            <color indexed="81"/>
            <rFont val="Tahoma"/>
            <family val="2"/>
          </rPr>
          <t>Hannes:</t>
        </r>
        <r>
          <rPr>
            <sz val="9"/>
            <color indexed="81"/>
            <rFont val="Tahoma"/>
            <family val="2"/>
          </rPr>
          <t xml:space="preserve">
Har använt reningsgrader för nedsänkt växtbädd. Någon skillnad?</t>
        </r>
      </text>
    </comment>
  </commentList>
</comments>
</file>

<file path=xl/comments3.xml><?xml version="1.0" encoding="utf-8"?>
<comments xmlns="http://schemas.openxmlformats.org/spreadsheetml/2006/main">
  <authors>
    <author>Hannes</author>
  </authors>
  <commentList>
    <comment ref="C9" authorId="0">
      <text>
        <r>
          <rPr>
            <b/>
            <sz val="9"/>
            <color indexed="81"/>
            <rFont val="Tahoma"/>
            <family val="2"/>
          </rPr>
          <t>Hannes:</t>
        </r>
        <r>
          <rPr>
            <sz val="9"/>
            <color indexed="81"/>
            <rFont val="Tahoma"/>
            <family val="2"/>
          </rPr>
          <t xml:space="preserve">
I StormTac finns endast markanvändningen "Grönt tak". Samma schabloner används därför för tunt som tjockt Sedum tak.</t>
        </r>
      </text>
    </comment>
    <comment ref="D61" authorId="0">
      <text>
        <r>
          <rPr>
            <b/>
            <sz val="9"/>
            <color indexed="81"/>
            <rFont val="Tahoma"/>
            <family val="2"/>
          </rPr>
          <t>Hannes:</t>
        </r>
        <r>
          <rPr>
            <sz val="9"/>
            <color indexed="81"/>
            <rFont val="Tahoma"/>
            <family val="2"/>
          </rPr>
          <t xml:space="preserve">
0,45 i Stormtac men då är det gårdsyta blandat gräs, asfalt, grus. Här används de schablonerna men avr.koeff. Har satts till 0,80 istället.</t>
        </r>
      </text>
    </comment>
  </commentList>
</comments>
</file>

<file path=xl/comments4.xml><?xml version="1.0" encoding="utf-8"?>
<comments xmlns="http://schemas.openxmlformats.org/spreadsheetml/2006/main">
  <authors>
    <author>Hannes</author>
  </authors>
  <commentList>
    <comment ref="L8" authorId="0">
      <text>
        <r>
          <rPr>
            <b/>
            <sz val="9"/>
            <color indexed="81"/>
            <rFont val="Tahoma"/>
            <family val="2"/>
          </rPr>
          <t>Hannes:</t>
        </r>
        <r>
          <rPr>
            <sz val="9"/>
            <color indexed="81"/>
            <rFont val="Tahoma"/>
            <family val="2"/>
          </rPr>
          <t xml:space="preserve">
Behöver fyllas i reningsgrader!</t>
        </r>
      </text>
    </comment>
  </commentList>
</comments>
</file>

<file path=xl/sharedStrings.xml><?xml version="1.0" encoding="utf-8"?>
<sst xmlns="http://schemas.openxmlformats.org/spreadsheetml/2006/main" count="1404" uniqueCount="163">
  <si>
    <t>Förtätningskvarter 1a</t>
  </si>
  <si>
    <t>Schablonhalter (underlag för beräkning av arealläckage)</t>
  </si>
  <si>
    <t>Arealläckage</t>
  </si>
  <si>
    <t>P</t>
  </si>
  <si>
    <t>Cu</t>
  </si>
  <si>
    <t>Zn</t>
  </si>
  <si>
    <t>Pb</t>
  </si>
  <si>
    <t>Cd</t>
  </si>
  <si>
    <t>SS</t>
  </si>
  <si>
    <t>Källa</t>
  </si>
  <si>
    <t>Kommentar</t>
  </si>
  <si>
    <t>Avr. koeff.</t>
  </si>
  <si>
    <t>Fosfor</t>
  </si>
  <si>
    <t>Koppar</t>
  </si>
  <si>
    <t>Zink</t>
  </si>
  <si>
    <t>Bly</t>
  </si>
  <si>
    <t>Kadmium</t>
  </si>
  <si>
    <t>Susp. mtrl</t>
  </si>
  <si>
    <t>Nederb.</t>
  </si>
  <si>
    <t>-</t>
  </si>
  <si>
    <t>mg/l</t>
  </si>
  <si>
    <t>m/år</t>
  </si>
  <si>
    <t>kg/ha*år</t>
  </si>
  <si>
    <t>g/ha*år</t>
  </si>
  <si>
    <t>Ytor med primär (inbyggd) flödesutjämning</t>
  </si>
  <si>
    <t>Sedumtak tunt</t>
  </si>
  <si>
    <t>Sedumtak tjockt</t>
  </si>
  <si>
    <t>StormTac v2014-11</t>
  </si>
  <si>
    <t>Grusyta</t>
  </si>
  <si>
    <t>Grusyta med träd</t>
  </si>
  <si>
    <t>Grusyta - armerad</t>
  </si>
  <si>
    <t>Gräs-/grönyta</t>
  </si>
  <si>
    <t>Gräsyta - armerad</t>
  </si>
  <si>
    <t>Genomsläpplig asfalt</t>
  </si>
  <si>
    <t>Parkmark</t>
  </si>
  <si>
    <t>Max</t>
  </si>
  <si>
    <t>Min</t>
  </si>
  <si>
    <t>Bas</t>
  </si>
  <si>
    <t>Belastande ytor (konventionella tak- och hårdgjorda ytor)</t>
  </si>
  <si>
    <t>Takyta</t>
  </si>
  <si>
    <t>P.Göbel et al./ Journal of Contaminant Hydrology 91 (2007) 26-42</t>
  </si>
  <si>
    <t>P.Göbel et al./ Journal of Contaminant Hydrology 91 (2007) 26-43</t>
  </si>
  <si>
    <t>Målat plåttak</t>
  </si>
  <si>
    <t>Tegel-/betongpannetak</t>
  </si>
  <si>
    <t>Tak utan zinkrännor och zinkrör</t>
  </si>
  <si>
    <t>Tak med zinkrännor och zinkrör</t>
  </si>
  <si>
    <t>Koppartak</t>
  </si>
  <si>
    <t>Aluminiumtak</t>
  </si>
  <si>
    <t>Zinktak</t>
  </si>
  <si>
    <t>Torg</t>
  </si>
  <si>
    <t>Lokalgata med kantsten</t>
  </si>
  <si>
    <t>Lokalgata efter reduktion i öppet dike</t>
  </si>
  <si>
    <t>Väg 2000 fordon/dygn</t>
  </si>
  <si>
    <t>Väg 5000 fordon/dygn</t>
  </si>
  <si>
    <t>Väg 1000 fordon/dygn</t>
  </si>
  <si>
    <t>Väg</t>
  </si>
  <si>
    <t>Parkering</t>
  </si>
  <si>
    <t>Gång-och cykelväg</t>
  </si>
  <si>
    <t>Stenrabatt</t>
  </si>
  <si>
    <t>Marksten med fogar</t>
  </si>
  <si>
    <t>Betongplatta</t>
  </si>
  <si>
    <t>Atmosfärisk deposition</t>
  </si>
  <si>
    <t>Reningsgrader dagvattenanläggningar</t>
  </si>
  <si>
    <t>Antagande: P 55% partikelbundet. Cu 60 %. Zn 65 %.</t>
  </si>
  <si>
    <t>Anläggning</t>
  </si>
  <si>
    <t>oil</t>
  </si>
  <si>
    <t>PAH16</t>
  </si>
  <si>
    <t>tot-P</t>
  </si>
  <si>
    <t>löst P</t>
  </si>
  <si>
    <t>tot-N</t>
  </si>
  <si>
    <t>tot-Cu</t>
  </si>
  <si>
    <t>löst Cu</t>
  </si>
  <si>
    <t>tot-Zn</t>
  </si>
  <si>
    <t>löst Zn</t>
  </si>
  <si>
    <t>Fördröjning i mark/övre markprofilen</t>
  </si>
  <si>
    <t xml:space="preserve">Infiltration i grönyta </t>
  </si>
  <si>
    <t>Genomsläpplig beläggning</t>
  </si>
  <si>
    <t>Svackdike</t>
  </si>
  <si>
    <t>Infiltrationsstråk</t>
  </si>
  <si>
    <t>Makadamdike</t>
  </si>
  <si>
    <t>Nedsänkt växtbädd (regnbädd/biofilter)</t>
  </si>
  <si>
    <t>Fördröjning under mark</t>
  </si>
  <si>
    <t>Skelettjord (makadam och jord)</t>
  </si>
  <si>
    <t>Avsättningsmagasin</t>
  </si>
  <si>
    <t>Perkolationsmagasin</t>
  </si>
  <si>
    <t>Tekniska filteranläggningar och oljeavskiljare</t>
  </si>
  <si>
    <t>Brunnsfilter</t>
  </si>
  <si>
    <t>Tekniska filteranläggningar</t>
  </si>
  <si>
    <t>Oljeavskiljare</t>
  </si>
  <si>
    <t>Öppna utjämnings- och reningsanläggningar</t>
  </si>
  <si>
    <t>Damm</t>
  </si>
  <si>
    <t>Våtmark</t>
  </si>
  <si>
    <t>Skärmbassäng</t>
  </si>
  <si>
    <t>Överdämningsyta/Torr damm</t>
  </si>
  <si>
    <t>Översilningsyta</t>
  </si>
  <si>
    <t>Genomsläpplig beläggning med magasin (data för grusyta har använts)</t>
  </si>
  <si>
    <r>
      <t>Belastning [år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]</t>
    </r>
  </si>
  <si>
    <t>Introduktion</t>
  </si>
  <si>
    <t>Belastningsberäkningar för typkvarter i Stockholm stad enligt metod i "Beräkningsmetod för dagvattenflöde och föroreningstransport i Stockholm"</t>
  </si>
  <si>
    <t>Antagande föroreningar i löst fas</t>
  </si>
  <si>
    <t>Nederbörd</t>
  </si>
  <si>
    <t>mm</t>
  </si>
  <si>
    <t>N</t>
  </si>
  <si>
    <t>kväve</t>
  </si>
  <si>
    <t>Oil</t>
  </si>
  <si>
    <t>Olja</t>
  </si>
  <si>
    <t>Kväve</t>
  </si>
  <si>
    <r>
      <rPr>
        <sz val="8"/>
        <rFont val="Calibri"/>
        <family val="2"/>
      </rPr>
      <t>µ</t>
    </r>
    <r>
      <rPr>
        <sz val="8"/>
        <rFont val="Arial"/>
        <family val="2"/>
      </rPr>
      <t>g/l</t>
    </r>
  </si>
  <si>
    <t>Yta</t>
  </si>
  <si>
    <t>[kg]</t>
  </si>
  <si>
    <t>[g]</t>
  </si>
  <si>
    <r>
      <t>m</t>
    </r>
    <r>
      <rPr>
        <i/>
        <vertAlign val="superscript"/>
        <sz val="8"/>
        <color theme="1"/>
        <rFont val="Arial"/>
        <family val="2"/>
      </rPr>
      <t>2</t>
    </r>
  </si>
  <si>
    <t>Tak</t>
  </si>
  <si>
    <t>Nedsänkt växtbädd (belastning räknas för atmosfärisk deposition)</t>
  </si>
  <si>
    <t>Bypass 10 %</t>
  </si>
  <si>
    <t>Reduktion i anläggning (%)</t>
  </si>
  <si>
    <r>
      <t>Nettobelastning ut [år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]</t>
    </r>
  </si>
  <si>
    <t>Summa belastning från hela området</t>
  </si>
  <si>
    <r>
      <t>Ytbelastning [ha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 xml:space="preserve"> år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]</t>
    </r>
  </si>
  <si>
    <t>Medelkoncentration</t>
  </si>
  <si>
    <t>[mg/l]</t>
  </si>
  <si>
    <r>
      <t>[</t>
    </r>
    <r>
      <rPr>
        <b/>
        <sz val="8"/>
        <color theme="1"/>
        <rFont val="Calibri"/>
        <family val="2"/>
      </rPr>
      <t>µ</t>
    </r>
    <r>
      <rPr>
        <b/>
        <sz val="8"/>
        <color theme="1"/>
        <rFont val="Arial"/>
        <family val="2"/>
      </rPr>
      <t>g/l]</t>
    </r>
  </si>
  <si>
    <t>Skapad avrinning</t>
  </si>
  <si>
    <t>Medel-phi</t>
  </si>
  <si>
    <t>Avrinning</t>
  </si>
  <si>
    <t>L/ha*år</t>
  </si>
  <si>
    <t>Hårdgjord parkeringsyta</t>
  </si>
  <si>
    <t>Hårdgjord gårdsyta</t>
  </si>
  <si>
    <t>Tunna extensiva gröna tak</t>
  </si>
  <si>
    <t>Grönytan ej medräknad i detta exempel</t>
  </si>
  <si>
    <t>Gårdsyta inom kvarter (hårdgjord)</t>
  </si>
  <si>
    <r>
      <t>Tillförd belastning [år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]</t>
    </r>
  </si>
  <si>
    <t>Förtätningskvarter 1b</t>
  </si>
  <si>
    <t>Tät stadsenklav 2a</t>
  </si>
  <si>
    <t>Extensiva gröna tak (8-15 cm)</t>
  </si>
  <si>
    <t>Nedsänkt grönyta (belastning som atmosfäriskt nedfall, avskiljning beräknas som för en torr damm)</t>
  </si>
  <si>
    <t>Tät stadsenklav 2b</t>
  </si>
  <si>
    <t>Infiltration i grönyta (belastning som atmosfäriskt nedfall)</t>
  </si>
  <si>
    <t>Genomsläpplig beläggning med underliggande magasin (data för grusyta har använts)</t>
  </si>
  <si>
    <t>Extensivt grönt tak (8-15 cm)</t>
  </si>
  <si>
    <t>Punkthus 4a</t>
  </si>
  <si>
    <t>Punkthus 4b</t>
  </si>
  <si>
    <t>Extra tät stadsenklav 3a</t>
  </si>
  <si>
    <t>Extra tät stadsenklav 3b</t>
  </si>
  <si>
    <t>Skelettjord (belastning från yta räknas som atmosfäriskt nedfall)</t>
  </si>
  <si>
    <r>
      <t>Tillförd beslastning [år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]</t>
    </r>
  </si>
  <si>
    <t>Luftig skelettjord (reningsgrader tagna för "normal" skelettjord)</t>
  </si>
  <si>
    <t>ϕ</t>
  </si>
  <si>
    <t>[µg/l]</t>
  </si>
  <si>
    <t>Luftig skelettjord (belastning räknad som atmosfärisk deposition)</t>
  </si>
  <si>
    <t>Typkvarter</t>
  </si>
  <si>
    <t>1a</t>
  </si>
  <si>
    <t>1b</t>
  </si>
  <si>
    <t>2a</t>
  </si>
  <si>
    <t>2b</t>
  </si>
  <si>
    <t>3a</t>
  </si>
  <si>
    <t>3b</t>
  </si>
  <si>
    <t>4a</t>
  </si>
  <si>
    <t>4b</t>
  </si>
  <si>
    <r>
      <t>Ytbelastning [ha</t>
    </r>
    <r>
      <rPr>
        <b/>
        <u/>
        <vertAlign val="superscript"/>
        <sz val="8"/>
        <color theme="1"/>
        <rFont val="Arial"/>
        <family val="2"/>
      </rPr>
      <t>-1</t>
    </r>
    <r>
      <rPr>
        <b/>
        <u/>
        <sz val="8"/>
        <color theme="1"/>
        <rFont val="Arial"/>
        <family val="2"/>
      </rPr>
      <t xml:space="preserve"> år</t>
    </r>
    <r>
      <rPr>
        <b/>
        <u/>
        <vertAlign val="superscript"/>
        <sz val="8"/>
        <color theme="1"/>
        <rFont val="Arial"/>
        <family val="2"/>
      </rPr>
      <t>-1</t>
    </r>
    <r>
      <rPr>
        <b/>
        <u/>
        <sz val="8"/>
        <color theme="1"/>
        <rFont val="Arial"/>
        <family val="2"/>
      </rPr>
      <t>]</t>
    </r>
  </si>
  <si>
    <t>Median</t>
  </si>
  <si>
    <t>Upphöjd växtbädd (belastning från atmosfärisk deposition)</t>
  </si>
  <si>
    <r>
      <t>Årsmedelkoncentration [</t>
    </r>
    <r>
      <rPr>
        <b/>
        <u/>
        <sz val="8"/>
        <color theme="1"/>
        <rFont val="Arial"/>
        <family val="2"/>
      </rPr>
      <t>år</t>
    </r>
    <r>
      <rPr>
        <b/>
        <u/>
        <vertAlign val="superscript"/>
        <sz val="8"/>
        <color theme="1"/>
        <rFont val="Arial"/>
        <family val="2"/>
      </rPr>
      <t>-1</t>
    </r>
    <r>
      <rPr>
        <b/>
        <u/>
        <sz val="8"/>
        <color theme="1"/>
        <rFont val="Arial"/>
        <family val="2"/>
      </rPr>
      <t>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</si>
</sst>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3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u/>
      <sz val="8"/>
      <name val="Arial"/>
      <family val="2"/>
    </font>
    <font>
      <vertAlign val="superscript"/>
      <sz val="8"/>
      <color theme="1"/>
      <name val="Arial"/>
      <family val="2"/>
    </font>
    <font>
      <i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name val="Calibri"/>
      <family val="2"/>
    </font>
    <font>
      <i/>
      <vertAlign val="superscript"/>
      <sz val="8"/>
      <color theme="1"/>
      <name val="Arial"/>
      <family val="2"/>
    </font>
    <font>
      <b/>
      <sz val="8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8"/>
      <color theme="1"/>
      <name val="Arial"/>
      <family val="2"/>
    </font>
    <font>
      <b/>
      <u/>
      <vertAlign val="superscript"/>
      <sz val="8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 style="mediumDashed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Dashed">
        <color auto="1"/>
      </left>
      <right/>
      <top/>
      <bottom style="mediumDashed">
        <color auto="1"/>
      </bottom>
      <diagonal/>
    </border>
    <border>
      <left/>
      <right/>
      <top/>
      <bottom style="mediumDashed">
        <color auto="1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</borders>
  <cellStyleXfs count="4">
    <xf numFmtId="0" fontId="0" fillId="0" borderId="0"/>
    <xf numFmtId="0" fontId="3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30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/>
    <xf numFmtId="0" fontId="1" fillId="0" borderId="3" xfId="0" applyFont="1" applyFill="1" applyBorder="1"/>
    <xf numFmtId="0" fontId="1" fillId="0" borderId="0" xfId="0" applyFont="1" applyFill="1" applyBorder="1"/>
    <xf numFmtId="0" fontId="5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4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/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/>
    <xf numFmtId="2" fontId="1" fillId="0" borderId="1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1" fillId="0" borderId="0" xfId="0" applyFont="1" applyFill="1" applyAlignment="1">
      <alignment horizontal="center"/>
    </xf>
    <xf numFmtId="2" fontId="4" fillId="0" borderId="0" xfId="0" applyNumberFormat="1" applyFont="1" applyFill="1" applyAlignment="1">
      <alignment horizontal="center"/>
    </xf>
    <xf numFmtId="0" fontId="1" fillId="0" borderId="0" xfId="0" applyFont="1" applyFill="1" applyBorder="1" applyAlignment="1"/>
    <xf numFmtId="165" fontId="4" fillId="0" borderId="0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4" fillId="0" borderId="1" xfId="0" applyFont="1" applyFill="1" applyBorder="1"/>
    <xf numFmtId="2" fontId="4" fillId="0" borderId="1" xfId="0" applyNumberFormat="1" applyFont="1" applyFill="1" applyBorder="1" applyAlignment="1">
      <alignment horizontal="center"/>
    </xf>
    <xf numFmtId="0" fontId="4" fillId="0" borderId="0" xfId="0" applyFont="1" applyFill="1"/>
    <xf numFmtId="1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0" fontId="8" fillId="0" borderId="0" xfId="0" applyFont="1" applyFill="1"/>
    <xf numFmtId="164" fontId="4" fillId="0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0" applyFont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9" fillId="0" borderId="0" xfId="1" applyFont="1" applyFill="1"/>
    <xf numFmtId="0" fontId="4" fillId="0" borderId="0" xfId="1" applyFont="1" applyFill="1" applyAlignment="1">
      <alignment horizontal="center"/>
    </xf>
    <xf numFmtId="0" fontId="4" fillId="0" borderId="0" xfId="1" applyFont="1" applyFill="1"/>
    <xf numFmtId="1" fontId="4" fillId="0" borderId="0" xfId="1" applyNumberFormat="1" applyFont="1" applyFill="1" applyAlignment="1">
      <alignment horizontal="center"/>
    </xf>
    <xf numFmtId="3" fontId="4" fillId="0" borderId="0" xfId="1" applyNumberFormat="1" applyFont="1" applyFill="1" applyAlignment="1">
      <alignment horizontal="center"/>
    </xf>
    <xf numFmtId="0" fontId="4" fillId="0" borderId="1" xfId="1" applyFont="1" applyFill="1" applyBorder="1"/>
    <xf numFmtId="0" fontId="4" fillId="0" borderId="1" xfId="1" applyFont="1" applyFill="1" applyBorder="1" applyAlignment="1">
      <alignment horizontal="center"/>
    </xf>
    <xf numFmtId="1" fontId="4" fillId="0" borderId="1" xfId="1" applyNumberFormat="1" applyFont="1" applyFill="1" applyBorder="1" applyAlignment="1">
      <alignment horizontal="center"/>
    </xf>
    <xf numFmtId="3" fontId="4" fillId="0" borderId="1" xfId="1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164" fontId="4" fillId="0" borderId="5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164" fontId="4" fillId="0" borderId="6" xfId="0" applyNumberFormat="1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1" fontId="1" fillId="0" borderId="8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2" fontId="1" fillId="0" borderId="9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8" xfId="0" applyNumberFormat="1" applyFont="1" applyFill="1" applyBorder="1" applyAlignment="1">
      <alignment horizontal="center"/>
    </xf>
    <xf numFmtId="0" fontId="1" fillId="0" borderId="8" xfId="0" applyFont="1" applyFill="1" applyBorder="1"/>
    <xf numFmtId="2" fontId="7" fillId="0" borderId="0" xfId="0" applyNumberFormat="1" applyFont="1" applyFill="1" applyBorder="1" applyAlignment="1">
      <alignment horizontal="center"/>
    </xf>
    <xf numFmtId="165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9" fontId="1" fillId="0" borderId="0" xfId="0" applyNumberFormat="1" applyFont="1"/>
    <xf numFmtId="0" fontId="1" fillId="0" borderId="0" xfId="0" applyFont="1" applyAlignment="1">
      <alignment horizontal="left"/>
    </xf>
    <xf numFmtId="0" fontId="11" fillId="0" borderId="0" xfId="0" applyFont="1"/>
    <xf numFmtId="1" fontId="1" fillId="0" borderId="0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0" fontId="2" fillId="0" borderId="0" xfId="0" applyFont="1" applyFill="1"/>
    <xf numFmtId="0" fontId="12" fillId="0" borderId="0" xfId="0" applyFont="1" applyFill="1"/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165" fontId="1" fillId="0" borderId="3" xfId="0" applyNumberFormat="1" applyFont="1" applyFill="1" applyBorder="1" applyAlignment="1">
      <alignment horizontal="center"/>
    </xf>
    <xf numFmtId="165" fontId="1" fillId="0" borderId="8" xfId="0" applyNumberFormat="1" applyFont="1" applyFill="1" applyBorder="1" applyAlignment="1">
      <alignment horizontal="center"/>
    </xf>
    <xf numFmtId="165" fontId="1" fillId="0" borderId="7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0" fontId="8" fillId="0" borderId="0" xfId="0" applyFont="1"/>
    <xf numFmtId="0" fontId="1" fillId="0" borderId="6" xfId="0" applyFont="1" applyFill="1" applyBorder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" fillId="2" borderId="0" xfId="0" applyFont="1" applyFill="1"/>
    <xf numFmtId="0" fontId="1" fillId="2" borderId="0" xfId="0" applyFont="1" applyFill="1"/>
    <xf numFmtId="0" fontId="2" fillId="2" borderId="0" xfId="0" applyFont="1" applyFill="1" applyBorder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165" fontId="1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11" fillId="2" borderId="0" xfId="0" applyFont="1" applyFill="1"/>
    <xf numFmtId="0" fontId="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0" xfId="0" applyFont="1" applyFill="1" applyBorder="1"/>
    <xf numFmtId="0" fontId="1" fillId="3" borderId="11" xfId="0" applyFont="1" applyFill="1" applyBorder="1" applyAlignment="1">
      <alignment horizontal="center" vertical="center"/>
    </xf>
    <xf numFmtId="0" fontId="11" fillId="3" borderId="13" xfId="0" applyFont="1" applyFill="1" applyBorder="1"/>
    <xf numFmtId="0" fontId="1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1" fillId="3" borderId="14" xfId="0" applyFont="1" applyFill="1" applyBorder="1" applyAlignment="1">
      <alignment horizontal="center" vertical="center"/>
    </xf>
    <xf numFmtId="0" fontId="1" fillId="3" borderId="13" xfId="0" applyFont="1" applyFill="1" applyBorder="1"/>
    <xf numFmtId="0" fontId="2" fillId="3" borderId="14" xfId="0" applyFont="1" applyFill="1" applyBorder="1" applyAlignment="1">
      <alignment horizontal="center" vertical="center"/>
    </xf>
    <xf numFmtId="0" fontId="1" fillId="3" borderId="15" xfId="0" applyFont="1" applyFill="1" applyBorder="1"/>
    <xf numFmtId="2" fontId="1" fillId="3" borderId="16" xfId="0" applyNumberFormat="1" applyFont="1" applyFill="1" applyBorder="1" applyAlignment="1">
      <alignment horizontal="center" vertical="center"/>
    </xf>
    <xf numFmtId="165" fontId="1" fillId="3" borderId="16" xfId="0" applyNumberFormat="1" applyFont="1" applyFill="1" applyBorder="1" applyAlignment="1">
      <alignment horizontal="center" vertical="center"/>
    </xf>
    <xf numFmtId="1" fontId="1" fillId="3" borderId="16" xfId="0" applyNumberFormat="1" applyFont="1" applyFill="1" applyBorder="1" applyAlignment="1">
      <alignment horizontal="center" vertical="center"/>
    </xf>
    <xf numFmtId="165" fontId="1" fillId="3" borderId="17" xfId="0" applyNumberFormat="1" applyFont="1" applyFill="1" applyBorder="1" applyAlignment="1">
      <alignment horizontal="center" vertical="center"/>
    </xf>
    <xf numFmtId="0" fontId="2" fillId="4" borderId="0" xfId="0" applyFont="1" applyFill="1"/>
    <xf numFmtId="0" fontId="1" fillId="4" borderId="0" xfId="0" applyFont="1" applyFill="1" applyAlignment="1">
      <alignment horizontal="center" vertical="center"/>
    </xf>
    <xf numFmtId="0" fontId="11" fillId="4" borderId="0" xfId="0" applyFont="1" applyFill="1"/>
    <xf numFmtId="0" fontId="11" fillId="4" borderId="0" xfId="0" applyFont="1" applyFill="1" applyAlignment="1">
      <alignment horizontal="center" vertical="center"/>
    </xf>
    <xf numFmtId="0" fontId="1" fillId="4" borderId="0" xfId="0" applyFont="1" applyFill="1"/>
    <xf numFmtId="0" fontId="2" fillId="4" borderId="0" xfId="0" applyFont="1" applyFill="1" applyBorder="1" applyAlignment="1">
      <alignment horizontal="center" vertical="center"/>
    </xf>
    <xf numFmtId="2" fontId="1" fillId="4" borderId="0" xfId="0" applyNumberFormat="1" applyFont="1" applyFill="1" applyAlignment="1">
      <alignment horizontal="center" vertical="center"/>
    </xf>
    <xf numFmtId="165" fontId="1" fillId="4" borderId="0" xfId="0" applyNumberFormat="1" applyFont="1" applyFill="1" applyAlignment="1">
      <alignment horizontal="center" vertical="center"/>
    </xf>
    <xf numFmtId="1" fontId="1" fillId="4" borderId="0" xfId="0" applyNumberFormat="1" applyFont="1" applyFill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2" fontId="1" fillId="0" borderId="0" xfId="0" applyNumberFormat="1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2" fillId="0" borderId="10" xfId="0" applyFont="1" applyFill="1" applyBorder="1"/>
    <xf numFmtId="0" fontId="1" fillId="0" borderId="11" xfId="0" applyFont="1" applyFill="1" applyBorder="1" applyAlignment="1">
      <alignment horizontal="center" vertical="center"/>
    </xf>
    <xf numFmtId="0" fontId="11" fillId="0" borderId="13" xfId="0" applyFont="1" applyFill="1" applyBorder="1"/>
    <xf numFmtId="0" fontId="11" fillId="0" borderId="0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1" fillId="0" borderId="13" xfId="0" applyFont="1" applyFill="1" applyBorder="1"/>
    <xf numFmtId="0" fontId="2" fillId="0" borderId="14" xfId="0" applyFont="1" applyFill="1" applyBorder="1" applyAlignment="1">
      <alignment horizontal="center" vertical="center"/>
    </xf>
    <xf numFmtId="2" fontId="1" fillId="0" borderId="16" xfId="0" applyNumberFormat="1" applyFont="1" applyFill="1" applyBorder="1" applyAlignment="1">
      <alignment horizontal="center" vertical="center"/>
    </xf>
    <xf numFmtId="165" fontId="1" fillId="0" borderId="16" xfId="0" applyNumberFormat="1" applyFont="1" applyFill="1" applyBorder="1" applyAlignment="1">
      <alignment horizontal="center" vertical="center"/>
    </xf>
    <xf numFmtId="1" fontId="1" fillId="0" borderId="16" xfId="0" applyNumberFormat="1" applyFont="1" applyFill="1" applyBorder="1" applyAlignment="1">
      <alignment horizontal="center" vertical="center"/>
    </xf>
    <xf numFmtId="165" fontId="1" fillId="0" borderId="17" xfId="0" applyNumberFormat="1" applyFont="1" applyFill="1" applyBorder="1" applyAlignment="1">
      <alignment horizontal="center" vertical="center"/>
    </xf>
    <xf numFmtId="2" fontId="1" fillId="0" borderId="0" xfId="0" applyNumberFormat="1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/>
    </xf>
    <xf numFmtId="165" fontId="1" fillId="0" borderId="14" xfId="0" applyNumberFormat="1" applyFont="1" applyFill="1" applyBorder="1" applyAlignment="1">
      <alignment horizontal="center" vertical="center"/>
    </xf>
    <xf numFmtId="0" fontId="2" fillId="5" borderId="0" xfId="0" applyFont="1" applyFill="1"/>
    <xf numFmtId="0" fontId="1" fillId="5" borderId="0" xfId="0" applyFont="1" applyFill="1" applyAlignment="1">
      <alignment horizontal="center" vertical="center"/>
    </xf>
    <xf numFmtId="0" fontId="11" fillId="5" borderId="0" xfId="0" applyFont="1" applyFill="1"/>
    <xf numFmtId="0" fontId="11" fillId="5" borderId="0" xfId="0" applyFont="1" applyFill="1" applyAlignment="1">
      <alignment horizontal="center" vertical="center"/>
    </xf>
    <xf numFmtId="0" fontId="1" fillId="5" borderId="0" xfId="0" applyFont="1" applyFill="1"/>
    <xf numFmtId="0" fontId="2" fillId="5" borderId="0" xfId="0" applyFont="1" applyFill="1" applyBorder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165" fontId="1" fillId="5" borderId="0" xfId="0" applyNumberFormat="1" applyFont="1" applyFill="1" applyAlignment="1">
      <alignment horizontal="center" vertical="center"/>
    </xf>
    <xf numFmtId="1" fontId="1" fillId="5" borderId="0" xfId="0" applyNumberFormat="1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0" fontId="11" fillId="2" borderId="0" xfId="0" applyFont="1" applyFill="1" applyBorder="1"/>
    <xf numFmtId="0" fontId="1" fillId="2" borderId="0" xfId="0" applyFont="1" applyFill="1" applyBorder="1"/>
    <xf numFmtId="2" fontId="1" fillId="2" borderId="0" xfId="0" applyNumberFormat="1" applyFont="1" applyFill="1" applyBorder="1" applyAlignment="1">
      <alignment horizontal="center" vertical="center"/>
    </xf>
    <xf numFmtId="165" fontId="1" fillId="2" borderId="0" xfId="0" applyNumberFormat="1" applyFont="1" applyFill="1" applyBorder="1" applyAlignment="1">
      <alignment horizontal="center" vertical="center"/>
    </xf>
    <xf numFmtId="1" fontId="1" fillId="2" borderId="0" xfId="0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6" borderId="10" xfId="0" applyFont="1" applyFill="1" applyBorder="1"/>
    <xf numFmtId="0" fontId="1" fillId="6" borderId="11" xfId="0" applyFont="1" applyFill="1" applyBorder="1" applyAlignment="1">
      <alignment horizontal="center" vertical="center"/>
    </xf>
    <xf numFmtId="0" fontId="11" fillId="6" borderId="13" xfId="0" applyFont="1" applyFill="1" applyBorder="1"/>
    <xf numFmtId="0" fontId="11" fillId="6" borderId="0" xfId="0" applyFont="1" applyFill="1" applyBorder="1" applyAlignment="1">
      <alignment horizontal="center" vertical="center"/>
    </xf>
    <xf numFmtId="0" fontId="1" fillId="6" borderId="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3" xfId="0" applyFont="1" applyFill="1" applyBorder="1"/>
    <xf numFmtId="0" fontId="2" fillId="6" borderId="14" xfId="0" applyFont="1" applyFill="1" applyBorder="1" applyAlignment="1">
      <alignment horizontal="center" vertical="center"/>
    </xf>
    <xf numFmtId="0" fontId="1" fillId="6" borderId="15" xfId="0" applyFont="1" applyFill="1" applyBorder="1"/>
    <xf numFmtId="2" fontId="1" fillId="6" borderId="16" xfId="0" applyNumberFormat="1" applyFont="1" applyFill="1" applyBorder="1" applyAlignment="1">
      <alignment horizontal="center" vertical="center"/>
    </xf>
    <xf numFmtId="165" fontId="1" fillId="6" borderId="16" xfId="0" applyNumberFormat="1" applyFont="1" applyFill="1" applyBorder="1" applyAlignment="1">
      <alignment horizontal="center" vertical="center"/>
    </xf>
    <xf numFmtId="1" fontId="1" fillId="6" borderId="16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65" fontId="4" fillId="0" borderId="8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5" fontId="1" fillId="6" borderId="17" xfId="0" applyNumberFormat="1" applyFont="1" applyFill="1" applyBorder="1" applyAlignment="1">
      <alignment horizontal="center" vertical="center"/>
    </xf>
    <xf numFmtId="0" fontId="2" fillId="4" borderId="10" xfId="0" applyFont="1" applyFill="1" applyBorder="1"/>
    <xf numFmtId="0" fontId="1" fillId="4" borderId="11" xfId="0" applyFont="1" applyFill="1" applyBorder="1" applyAlignment="1">
      <alignment horizontal="center" vertical="center"/>
    </xf>
    <xf numFmtId="0" fontId="11" fillId="4" borderId="13" xfId="0" applyFont="1" applyFill="1" applyBorder="1"/>
    <xf numFmtId="0" fontId="11" fillId="4" borderId="0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13" xfId="0" applyFont="1" applyFill="1" applyBorder="1"/>
    <xf numFmtId="0" fontId="2" fillId="4" borderId="14" xfId="0" applyFont="1" applyFill="1" applyBorder="1" applyAlignment="1">
      <alignment horizontal="center" vertical="center"/>
    </xf>
    <xf numFmtId="0" fontId="1" fillId="4" borderId="15" xfId="0" applyFont="1" applyFill="1" applyBorder="1"/>
    <xf numFmtId="2" fontId="1" fillId="4" borderId="16" xfId="0" applyNumberFormat="1" applyFont="1" applyFill="1" applyBorder="1" applyAlignment="1">
      <alignment horizontal="center" vertical="center"/>
    </xf>
    <xf numFmtId="165" fontId="1" fillId="4" borderId="16" xfId="0" applyNumberFormat="1" applyFont="1" applyFill="1" applyBorder="1" applyAlignment="1">
      <alignment horizontal="center" vertical="center"/>
    </xf>
    <xf numFmtId="1" fontId="1" fillId="4" borderId="16" xfId="0" applyNumberFormat="1" applyFont="1" applyFill="1" applyBorder="1" applyAlignment="1">
      <alignment horizontal="center" vertical="center"/>
    </xf>
    <xf numFmtId="165" fontId="1" fillId="4" borderId="17" xfId="0" applyNumberFormat="1" applyFont="1" applyFill="1" applyBorder="1" applyAlignment="1">
      <alignment horizontal="center" vertical="center"/>
    </xf>
    <xf numFmtId="2" fontId="1" fillId="3" borderId="0" xfId="0" applyNumberFormat="1" applyFont="1" applyFill="1" applyBorder="1" applyAlignment="1">
      <alignment horizontal="center" vertical="center"/>
    </xf>
    <xf numFmtId="165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center" vertical="center"/>
    </xf>
    <xf numFmtId="0" fontId="2" fillId="4" borderId="18" xfId="0" applyFont="1" applyFill="1" applyBorder="1"/>
    <xf numFmtId="0" fontId="1" fillId="4" borderId="19" xfId="0" applyFont="1" applyFill="1" applyBorder="1" applyAlignment="1">
      <alignment horizontal="center" vertical="center"/>
    </xf>
    <xf numFmtId="0" fontId="11" fillId="4" borderId="21" xfId="0" applyFont="1" applyFill="1" applyBorder="1"/>
    <xf numFmtId="0" fontId="1" fillId="4" borderId="22" xfId="0" applyFont="1" applyFill="1" applyBorder="1" applyAlignment="1">
      <alignment horizontal="center" vertical="center"/>
    </xf>
    <xf numFmtId="0" fontId="1" fillId="4" borderId="21" xfId="0" applyFont="1" applyFill="1" applyBorder="1"/>
    <xf numFmtId="0" fontId="2" fillId="4" borderId="22" xfId="0" applyFont="1" applyFill="1" applyBorder="1" applyAlignment="1">
      <alignment horizontal="center" vertical="center"/>
    </xf>
    <xf numFmtId="2" fontId="1" fillId="4" borderId="0" xfId="0" applyNumberFormat="1" applyFont="1" applyFill="1" applyBorder="1" applyAlignment="1">
      <alignment horizontal="center" vertical="center"/>
    </xf>
    <xf numFmtId="165" fontId="1" fillId="4" borderId="0" xfId="0" applyNumberFormat="1" applyFont="1" applyFill="1" applyBorder="1" applyAlignment="1">
      <alignment horizontal="center" vertical="center"/>
    </xf>
    <xf numFmtId="1" fontId="1" fillId="4" borderId="0" xfId="0" applyNumberFormat="1" applyFont="1" applyFill="1" applyBorder="1" applyAlignment="1">
      <alignment horizontal="center" vertical="center"/>
    </xf>
    <xf numFmtId="165" fontId="1" fillId="4" borderId="22" xfId="0" applyNumberFormat="1" applyFont="1" applyFill="1" applyBorder="1" applyAlignment="1">
      <alignment horizontal="center" vertical="center"/>
    </xf>
    <xf numFmtId="0" fontId="1" fillId="4" borderId="23" xfId="0" applyFont="1" applyFill="1" applyBorder="1"/>
    <xf numFmtId="2" fontId="1" fillId="4" borderId="24" xfId="0" applyNumberFormat="1" applyFont="1" applyFill="1" applyBorder="1" applyAlignment="1">
      <alignment horizontal="center" vertical="center"/>
    </xf>
    <xf numFmtId="165" fontId="1" fillId="4" borderId="24" xfId="0" applyNumberFormat="1" applyFont="1" applyFill="1" applyBorder="1" applyAlignment="1">
      <alignment horizontal="center" vertical="center"/>
    </xf>
    <xf numFmtId="1" fontId="1" fillId="4" borderId="24" xfId="0" applyNumberFormat="1" applyFont="1" applyFill="1" applyBorder="1" applyAlignment="1">
      <alignment horizontal="center" vertical="center"/>
    </xf>
    <xf numFmtId="2" fontId="1" fillId="4" borderId="25" xfId="0" applyNumberFormat="1" applyFont="1" applyFill="1" applyBorder="1" applyAlignment="1">
      <alignment horizontal="center" vertical="center"/>
    </xf>
    <xf numFmtId="0" fontId="2" fillId="5" borderId="18" xfId="0" applyFont="1" applyFill="1" applyBorder="1"/>
    <xf numFmtId="0" fontId="1" fillId="5" borderId="19" xfId="0" applyFont="1" applyFill="1" applyBorder="1" applyAlignment="1">
      <alignment horizontal="center" vertical="center"/>
    </xf>
    <xf numFmtId="0" fontId="11" fillId="5" borderId="21" xfId="0" applyFont="1" applyFill="1" applyBorder="1"/>
    <xf numFmtId="0" fontId="11" fillId="5" borderId="0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/>
    <xf numFmtId="0" fontId="2" fillId="5" borderId="22" xfId="0" applyFont="1" applyFill="1" applyBorder="1" applyAlignment="1">
      <alignment horizontal="center" vertical="center"/>
    </xf>
    <xf numFmtId="2" fontId="1" fillId="5" borderId="0" xfId="0" applyNumberFormat="1" applyFont="1" applyFill="1" applyBorder="1" applyAlignment="1">
      <alignment horizontal="center" vertical="center"/>
    </xf>
    <xf numFmtId="165" fontId="1" fillId="5" borderId="0" xfId="0" applyNumberFormat="1" applyFont="1" applyFill="1" applyBorder="1" applyAlignment="1">
      <alignment horizontal="center" vertical="center"/>
    </xf>
    <xf numFmtId="1" fontId="1" fillId="5" borderId="0" xfId="0" applyNumberFormat="1" applyFont="1" applyFill="1" applyBorder="1" applyAlignment="1">
      <alignment horizontal="center" vertical="center"/>
    </xf>
    <xf numFmtId="165" fontId="1" fillId="5" borderId="22" xfId="0" applyNumberFormat="1" applyFont="1" applyFill="1" applyBorder="1" applyAlignment="1">
      <alignment horizontal="center" vertical="center"/>
    </xf>
    <xf numFmtId="0" fontId="1" fillId="5" borderId="23" xfId="0" applyFont="1" applyFill="1" applyBorder="1"/>
    <xf numFmtId="2" fontId="1" fillId="5" borderId="24" xfId="0" applyNumberFormat="1" applyFont="1" applyFill="1" applyBorder="1" applyAlignment="1">
      <alignment horizontal="center" vertical="center"/>
    </xf>
    <xf numFmtId="165" fontId="1" fillId="5" borderId="24" xfId="0" applyNumberFormat="1" applyFont="1" applyFill="1" applyBorder="1" applyAlignment="1">
      <alignment horizontal="center" vertical="center"/>
    </xf>
    <xf numFmtId="165" fontId="1" fillId="5" borderId="25" xfId="0" applyNumberFormat="1" applyFont="1" applyFill="1" applyBorder="1" applyAlignment="1">
      <alignment horizontal="center" vertical="center"/>
    </xf>
    <xf numFmtId="0" fontId="2" fillId="3" borderId="18" xfId="0" applyFont="1" applyFill="1" applyBorder="1"/>
    <xf numFmtId="0" fontId="1" fillId="3" borderId="19" xfId="0" applyFont="1" applyFill="1" applyBorder="1" applyAlignment="1">
      <alignment horizontal="center" vertical="center"/>
    </xf>
    <xf numFmtId="0" fontId="11" fillId="3" borderId="21" xfId="0" applyFont="1" applyFill="1" applyBorder="1"/>
    <xf numFmtId="0" fontId="1" fillId="3" borderId="22" xfId="0" applyFont="1" applyFill="1" applyBorder="1" applyAlignment="1">
      <alignment horizontal="center" vertical="center"/>
    </xf>
    <xf numFmtId="0" fontId="1" fillId="3" borderId="21" xfId="0" applyFont="1" applyFill="1" applyBorder="1"/>
    <xf numFmtId="0" fontId="2" fillId="3" borderId="22" xfId="0" applyFont="1" applyFill="1" applyBorder="1" applyAlignment="1">
      <alignment horizontal="center" vertical="center"/>
    </xf>
    <xf numFmtId="165" fontId="1" fillId="3" borderId="22" xfId="0" applyNumberFormat="1" applyFont="1" applyFill="1" applyBorder="1" applyAlignment="1">
      <alignment horizontal="center" vertical="center"/>
    </xf>
    <xf numFmtId="0" fontId="1" fillId="3" borderId="23" xfId="0" applyFont="1" applyFill="1" applyBorder="1"/>
    <xf numFmtId="2" fontId="1" fillId="3" borderId="24" xfId="0" applyNumberFormat="1" applyFont="1" applyFill="1" applyBorder="1" applyAlignment="1">
      <alignment horizontal="center" vertical="center"/>
    </xf>
    <xf numFmtId="165" fontId="1" fillId="3" borderId="24" xfId="0" applyNumberFormat="1" applyFont="1" applyFill="1" applyBorder="1" applyAlignment="1">
      <alignment horizontal="center" vertical="center"/>
    </xf>
    <xf numFmtId="165" fontId="1" fillId="3" borderId="25" xfId="0" applyNumberFormat="1" applyFont="1" applyFill="1" applyBorder="1" applyAlignment="1">
      <alignment horizontal="center" vertical="center"/>
    </xf>
    <xf numFmtId="1" fontId="1" fillId="3" borderId="24" xfId="0" applyNumberFormat="1" applyFont="1" applyFill="1" applyBorder="1" applyAlignment="1">
      <alignment horizontal="center" vertical="center"/>
    </xf>
    <xf numFmtId="0" fontId="2" fillId="4" borderId="26" xfId="0" applyFont="1" applyFill="1" applyBorder="1"/>
    <xf numFmtId="0" fontId="1" fillId="4" borderId="27" xfId="0" applyFont="1" applyFill="1" applyBorder="1" applyAlignment="1">
      <alignment horizontal="center" vertical="center"/>
    </xf>
    <xf numFmtId="0" fontId="11" fillId="4" borderId="29" xfId="0" applyFont="1" applyFill="1" applyBorder="1"/>
    <xf numFmtId="0" fontId="1" fillId="4" borderId="30" xfId="0" applyFont="1" applyFill="1" applyBorder="1" applyAlignment="1">
      <alignment horizontal="center" vertical="center"/>
    </xf>
    <xf numFmtId="0" fontId="1" fillId="4" borderId="29" xfId="0" applyFont="1" applyFill="1" applyBorder="1"/>
    <xf numFmtId="0" fontId="2" fillId="4" borderId="30" xfId="0" applyFont="1" applyFill="1" applyBorder="1" applyAlignment="1">
      <alignment horizontal="center" vertical="center"/>
    </xf>
    <xf numFmtId="165" fontId="1" fillId="4" borderId="30" xfId="0" applyNumberFormat="1" applyFont="1" applyFill="1" applyBorder="1" applyAlignment="1">
      <alignment horizontal="center" vertical="center"/>
    </xf>
    <xf numFmtId="0" fontId="1" fillId="4" borderId="31" xfId="0" applyFont="1" applyFill="1" applyBorder="1"/>
    <xf numFmtId="2" fontId="1" fillId="4" borderId="32" xfId="0" applyNumberFormat="1" applyFont="1" applyFill="1" applyBorder="1" applyAlignment="1">
      <alignment horizontal="center" vertical="center"/>
    </xf>
    <xf numFmtId="165" fontId="1" fillId="4" borderId="32" xfId="0" applyNumberFormat="1" applyFont="1" applyFill="1" applyBorder="1" applyAlignment="1">
      <alignment horizontal="center" vertical="center"/>
    </xf>
    <xf numFmtId="165" fontId="1" fillId="4" borderId="33" xfId="0" applyNumberFormat="1" applyFont="1" applyFill="1" applyBorder="1" applyAlignment="1">
      <alignment horizontal="center" vertical="center"/>
    </xf>
    <xf numFmtId="2" fontId="1" fillId="3" borderId="12" xfId="0" applyNumberFormat="1" applyFont="1" applyFill="1" applyBorder="1" applyAlignment="1">
      <alignment horizontal="center" vertical="center"/>
    </xf>
    <xf numFmtId="2" fontId="1" fillId="0" borderId="12" xfId="0" applyNumberFormat="1" applyFont="1" applyFill="1" applyBorder="1" applyAlignment="1">
      <alignment horizontal="center" vertical="center"/>
    </xf>
    <xf numFmtId="2" fontId="1" fillId="4" borderId="12" xfId="0" applyNumberFormat="1" applyFont="1" applyFill="1" applyBorder="1" applyAlignment="1">
      <alignment horizontal="center" vertical="center"/>
    </xf>
    <xf numFmtId="2" fontId="1" fillId="0" borderId="17" xfId="0" applyNumberFormat="1" applyFont="1" applyFill="1" applyBorder="1" applyAlignment="1">
      <alignment horizontal="center" vertical="center"/>
    </xf>
    <xf numFmtId="2" fontId="1" fillId="6" borderId="12" xfId="0" applyNumberFormat="1" applyFont="1" applyFill="1" applyBorder="1" applyAlignment="1">
      <alignment horizontal="center" vertical="center"/>
    </xf>
    <xf numFmtId="2" fontId="1" fillId="4" borderId="20" xfId="0" applyNumberFormat="1" applyFont="1" applyFill="1" applyBorder="1" applyAlignment="1">
      <alignment horizontal="center" vertical="center"/>
    </xf>
    <xf numFmtId="2" fontId="1" fillId="5" borderId="20" xfId="0" applyNumberFormat="1" applyFont="1" applyFill="1" applyBorder="1" applyAlignment="1">
      <alignment horizontal="center" vertical="center"/>
    </xf>
    <xf numFmtId="2" fontId="1" fillId="3" borderId="20" xfId="0" applyNumberFormat="1" applyFont="1" applyFill="1" applyBorder="1" applyAlignment="1">
      <alignment horizontal="center" vertical="center"/>
    </xf>
    <xf numFmtId="2" fontId="1" fillId="0" borderId="14" xfId="0" applyNumberFormat="1" applyFont="1" applyFill="1" applyBorder="1" applyAlignment="1">
      <alignment horizontal="center" vertical="center"/>
    </xf>
    <xf numFmtId="2" fontId="1" fillId="4" borderId="28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2" fontId="1" fillId="0" borderId="0" xfId="0" applyNumberFormat="1" applyFont="1" applyBorder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2" fontId="1" fillId="0" borderId="0" xfId="0" applyNumberFormat="1" applyFont="1" applyAlignment="1">
      <alignment vertical="center"/>
    </xf>
    <xf numFmtId="0" fontId="6" fillId="0" borderId="0" xfId="0" applyFont="1"/>
    <xf numFmtId="0" fontId="1" fillId="0" borderId="0" xfId="0" applyFont="1" applyFill="1" applyAlignment="1">
      <alignment wrapText="1"/>
    </xf>
    <xf numFmtId="14" fontId="1" fillId="0" borderId="0" xfId="0" applyNumberFormat="1" applyFont="1" applyFill="1"/>
    <xf numFmtId="0" fontId="11" fillId="4" borderId="0" xfId="0" applyFont="1" applyFill="1" applyAlignment="1">
      <alignment horizont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1" fillId="4" borderId="21" xfId="0" applyFont="1" applyFill="1" applyBorder="1" applyAlignment="1">
      <alignment horizontal="center" wrapText="1"/>
    </xf>
    <xf numFmtId="0" fontId="11" fillId="4" borderId="0" xfId="0" applyFont="1" applyFill="1" applyBorder="1" applyAlignment="1">
      <alignment horizontal="center" wrapText="1"/>
    </xf>
    <xf numFmtId="0" fontId="11" fillId="4" borderId="22" xfId="0" applyFont="1" applyFill="1" applyBorder="1" applyAlignment="1">
      <alignment horizontal="center" wrapText="1"/>
    </xf>
    <xf numFmtId="0" fontId="11" fillId="5" borderId="21" xfId="0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 wrapText="1"/>
    </xf>
    <xf numFmtId="0" fontId="11" fillId="5" borderId="22" xfId="0" applyFont="1" applyFill="1" applyBorder="1" applyAlignment="1">
      <alignment horizontal="center" wrapText="1"/>
    </xf>
    <xf numFmtId="0" fontId="11" fillId="3" borderId="21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wrapText="1"/>
    </xf>
    <xf numFmtId="0" fontId="11" fillId="3" borderId="22" xfId="0" applyFont="1" applyFill="1" applyBorder="1" applyAlignment="1">
      <alignment horizontal="center" wrapText="1"/>
    </xf>
    <xf numFmtId="0" fontId="11" fillId="4" borderId="29" xfId="0" applyFont="1" applyFill="1" applyBorder="1" applyAlignment="1">
      <alignment horizontal="center" wrapText="1"/>
    </xf>
    <xf numFmtId="0" fontId="11" fillId="4" borderId="30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</cellXfs>
  <cellStyles count="4">
    <cellStyle name="Följd hyperlänk" xfId="3" builtinId="9" hidden="1"/>
    <cellStyle name="Hyperlänk" xfId="2" builtinId="8" hidden="1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243417</xdr:colOff>
      <xdr:row>4</xdr:row>
      <xdr:rowOff>14816</xdr:rowOff>
    </xdr:from>
    <xdr:to>
      <xdr:col>20</xdr:col>
      <xdr:colOff>71967</xdr:colOff>
      <xdr:row>19</xdr:row>
      <xdr:rowOff>81491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676" t="47619" r="24797" b="28857"/>
        <a:stretch>
          <a:fillRect/>
        </a:stretch>
      </xdr:blipFill>
      <xdr:spPr bwMode="auto">
        <a:xfrm>
          <a:off x="8604250" y="607483"/>
          <a:ext cx="4125384" cy="2289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5</xdr:col>
      <xdr:colOff>600075</xdr:colOff>
      <xdr:row>18</xdr:row>
      <xdr:rowOff>9525</xdr:rowOff>
    </xdr:from>
    <xdr:to>
      <xdr:col>5</xdr:col>
      <xdr:colOff>600075</xdr:colOff>
      <xdr:row>21</xdr:row>
      <xdr:rowOff>142875</xdr:rowOff>
    </xdr:to>
    <xdr:cxnSp macro="">
      <xdr:nvCxnSpPr>
        <xdr:cNvPr id="4" name="Rak pil 3"/>
        <xdr:cNvCxnSpPr/>
      </xdr:nvCxnSpPr>
      <xdr:spPr>
        <a:xfrm>
          <a:off x="4038600" y="26003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28576</xdr:colOff>
      <xdr:row>6</xdr:row>
      <xdr:rowOff>152399</xdr:rowOff>
    </xdr:from>
    <xdr:to>
      <xdr:col>12</xdr:col>
      <xdr:colOff>600076</xdr:colOff>
      <xdr:row>38</xdr:row>
      <xdr:rowOff>142874</xdr:rowOff>
    </xdr:to>
    <xdr:cxnSp macro="">
      <xdr:nvCxnSpPr>
        <xdr:cNvPr id="19" name="Vinklad  18"/>
        <xdr:cNvCxnSpPr/>
      </xdr:nvCxnSpPr>
      <xdr:spPr>
        <a:xfrm rot="16200000" flipH="1">
          <a:off x="5586413" y="3214687"/>
          <a:ext cx="4867275" cy="571500"/>
        </a:xfrm>
        <a:prstGeom prst="bentConnector3">
          <a:avLst>
            <a:gd name="adj1" fmla="val -294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31</xdr:row>
      <xdr:rowOff>9525</xdr:rowOff>
    </xdr:from>
    <xdr:to>
      <xdr:col>5</xdr:col>
      <xdr:colOff>600075</xdr:colOff>
      <xdr:row>34</xdr:row>
      <xdr:rowOff>142875</xdr:rowOff>
    </xdr:to>
    <xdr:cxnSp macro="">
      <xdr:nvCxnSpPr>
        <xdr:cNvPr id="21" name="Rak pil 20"/>
        <xdr:cNvCxnSpPr/>
      </xdr:nvCxnSpPr>
      <xdr:spPr>
        <a:xfrm>
          <a:off x="403860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38</xdr:row>
      <xdr:rowOff>133351</xdr:rowOff>
    </xdr:from>
    <xdr:to>
      <xdr:col>13</xdr:col>
      <xdr:colOff>9525</xdr:colOff>
      <xdr:row>38</xdr:row>
      <xdr:rowOff>142875</xdr:rowOff>
    </xdr:to>
    <xdr:cxnSp macro="">
      <xdr:nvCxnSpPr>
        <xdr:cNvPr id="22" name="Rak pil 21"/>
        <xdr:cNvCxnSpPr/>
      </xdr:nvCxnSpPr>
      <xdr:spPr>
        <a:xfrm flipH="1">
          <a:off x="7696200" y="5924551"/>
          <a:ext cx="628650" cy="952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28576</xdr:colOff>
      <xdr:row>6</xdr:row>
      <xdr:rowOff>152398</xdr:rowOff>
    </xdr:from>
    <xdr:to>
      <xdr:col>13</xdr:col>
      <xdr:colOff>3</xdr:colOff>
      <xdr:row>35</xdr:row>
      <xdr:rowOff>9527</xdr:rowOff>
    </xdr:to>
    <xdr:cxnSp macro="">
      <xdr:nvCxnSpPr>
        <xdr:cNvPr id="4" name="Vinklad  3"/>
        <xdr:cNvCxnSpPr/>
      </xdr:nvCxnSpPr>
      <xdr:spPr>
        <a:xfrm rot="16200000" flipH="1">
          <a:off x="6038850" y="2914649"/>
          <a:ext cx="4276729" cy="581027"/>
        </a:xfrm>
        <a:prstGeom prst="bentConnector3">
          <a:avLst>
            <a:gd name="adj1" fmla="val -334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38</xdr:row>
      <xdr:rowOff>9525</xdr:rowOff>
    </xdr:from>
    <xdr:to>
      <xdr:col>5</xdr:col>
      <xdr:colOff>600075</xdr:colOff>
      <xdr:row>41</xdr:row>
      <xdr:rowOff>142875</xdr:rowOff>
    </xdr:to>
    <xdr:cxnSp macro="">
      <xdr:nvCxnSpPr>
        <xdr:cNvPr id="5" name="Rak pil 4"/>
        <xdr:cNvCxnSpPr/>
      </xdr:nvCxnSpPr>
      <xdr:spPr>
        <a:xfrm>
          <a:off x="419100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35</xdr:row>
      <xdr:rowOff>0</xdr:rowOff>
    </xdr:from>
    <xdr:to>
      <xdr:col>13</xdr:col>
      <xdr:colOff>1</xdr:colOff>
      <xdr:row>35</xdr:row>
      <xdr:rowOff>0</xdr:rowOff>
    </xdr:to>
    <xdr:cxnSp macro="">
      <xdr:nvCxnSpPr>
        <xdr:cNvPr id="6" name="Rak pil 5"/>
        <xdr:cNvCxnSpPr/>
      </xdr:nvCxnSpPr>
      <xdr:spPr>
        <a:xfrm flipH="1">
          <a:off x="7848600" y="5334000"/>
          <a:ext cx="619126" cy="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433918</xdr:colOff>
      <xdr:row>3</xdr:row>
      <xdr:rowOff>0</xdr:rowOff>
    </xdr:from>
    <xdr:to>
      <xdr:col>20</xdr:col>
      <xdr:colOff>169335</xdr:colOff>
      <xdr:row>17</xdr:row>
      <xdr:rowOff>95251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310" t="47740" r="68414" b="26232"/>
        <a:stretch>
          <a:fillRect/>
        </a:stretch>
      </xdr:blipFill>
      <xdr:spPr bwMode="auto">
        <a:xfrm>
          <a:off x="8942918" y="444500"/>
          <a:ext cx="4032250" cy="2169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9525</xdr:colOff>
      <xdr:row>15</xdr:row>
      <xdr:rowOff>76200</xdr:rowOff>
    </xdr:from>
    <xdr:to>
      <xdr:col>13</xdr:col>
      <xdr:colOff>0</xdr:colOff>
      <xdr:row>15</xdr:row>
      <xdr:rowOff>76200</xdr:rowOff>
    </xdr:to>
    <xdr:cxnSp macro="">
      <xdr:nvCxnSpPr>
        <xdr:cNvPr id="10" name="Rak 9"/>
        <xdr:cNvCxnSpPr/>
      </xdr:nvCxnSpPr>
      <xdr:spPr>
        <a:xfrm>
          <a:off x="7867650" y="2362200"/>
          <a:ext cx="6000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24</xdr:row>
      <xdr:rowOff>85725</xdr:rowOff>
    </xdr:from>
    <xdr:to>
      <xdr:col>12</xdr:col>
      <xdr:colOff>600075</xdr:colOff>
      <xdr:row>24</xdr:row>
      <xdr:rowOff>85725</xdr:rowOff>
    </xdr:to>
    <xdr:cxnSp macro="">
      <xdr:nvCxnSpPr>
        <xdr:cNvPr id="11" name="Rak 10"/>
        <xdr:cNvCxnSpPr/>
      </xdr:nvCxnSpPr>
      <xdr:spPr>
        <a:xfrm>
          <a:off x="7858125" y="3743325"/>
          <a:ext cx="6000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600074</xdr:colOff>
      <xdr:row>17</xdr:row>
      <xdr:rowOff>19048</xdr:rowOff>
    </xdr:from>
    <xdr:to>
      <xdr:col>12</xdr:col>
      <xdr:colOff>609599</xdr:colOff>
      <xdr:row>69</xdr:row>
      <xdr:rowOff>19050</xdr:rowOff>
    </xdr:to>
    <xdr:cxnSp macro="">
      <xdr:nvCxnSpPr>
        <xdr:cNvPr id="2" name="Vinklad  1"/>
        <xdr:cNvCxnSpPr/>
      </xdr:nvCxnSpPr>
      <xdr:spPr>
        <a:xfrm rot="16200000" flipH="1">
          <a:off x="4386261" y="6186486"/>
          <a:ext cx="7772402" cy="619125"/>
        </a:xfrm>
        <a:prstGeom prst="bentConnector3">
          <a:avLst>
            <a:gd name="adj1" fmla="val -123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61</xdr:row>
      <xdr:rowOff>9525</xdr:rowOff>
    </xdr:from>
    <xdr:to>
      <xdr:col>5</xdr:col>
      <xdr:colOff>600075</xdr:colOff>
      <xdr:row>64</xdr:row>
      <xdr:rowOff>142875</xdr:rowOff>
    </xdr:to>
    <xdr:cxnSp macro="">
      <xdr:nvCxnSpPr>
        <xdr:cNvPr id="3" name="Rak pil 2"/>
        <xdr:cNvCxnSpPr/>
      </xdr:nvCxnSpPr>
      <xdr:spPr>
        <a:xfrm>
          <a:off x="4191000" y="58007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69</xdr:row>
      <xdr:rowOff>19050</xdr:rowOff>
    </xdr:from>
    <xdr:to>
      <xdr:col>13</xdr:col>
      <xdr:colOff>0</xdr:colOff>
      <xdr:row>69</xdr:row>
      <xdr:rowOff>19050</xdr:rowOff>
    </xdr:to>
    <xdr:cxnSp macro="">
      <xdr:nvCxnSpPr>
        <xdr:cNvPr id="4" name="Rak pil 3"/>
        <xdr:cNvCxnSpPr/>
      </xdr:nvCxnSpPr>
      <xdr:spPr>
        <a:xfrm flipH="1">
          <a:off x="7962900" y="10382250"/>
          <a:ext cx="619125" cy="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</xdr:colOff>
      <xdr:row>28</xdr:row>
      <xdr:rowOff>0</xdr:rowOff>
    </xdr:from>
    <xdr:to>
      <xdr:col>13</xdr:col>
      <xdr:colOff>9525</xdr:colOff>
      <xdr:row>28</xdr:row>
      <xdr:rowOff>0</xdr:rowOff>
    </xdr:to>
    <xdr:cxnSp macro="">
      <xdr:nvCxnSpPr>
        <xdr:cNvPr id="6" name="Rak 5"/>
        <xdr:cNvCxnSpPr/>
      </xdr:nvCxnSpPr>
      <xdr:spPr>
        <a:xfrm>
          <a:off x="7991475" y="4267200"/>
          <a:ext cx="600075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381000</xdr:colOff>
      <xdr:row>2</xdr:row>
      <xdr:rowOff>0</xdr:rowOff>
    </xdr:from>
    <xdr:to>
      <xdr:col>21</xdr:col>
      <xdr:colOff>85725</xdr:colOff>
      <xdr:row>20</xdr:row>
      <xdr:rowOff>66675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662" t="35809" r="24088" b="36096"/>
        <a:stretch>
          <a:fillRect/>
        </a:stretch>
      </xdr:blipFill>
      <xdr:spPr bwMode="auto">
        <a:xfrm>
          <a:off x="8848725" y="419100"/>
          <a:ext cx="4581525" cy="2809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6</xdr:col>
      <xdr:colOff>0</xdr:colOff>
      <xdr:row>8</xdr:row>
      <xdr:rowOff>19050</xdr:rowOff>
    </xdr:from>
    <xdr:to>
      <xdr:col>6</xdr:col>
      <xdr:colOff>0</xdr:colOff>
      <xdr:row>12</xdr:row>
      <xdr:rowOff>0</xdr:rowOff>
    </xdr:to>
    <xdr:cxnSp macro="">
      <xdr:nvCxnSpPr>
        <xdr:cNvPr id="10" name="Rak pil 9"/>
        <xdr:cNvCxnSpPr/>
      </xdr:nvCxnSpPr>
      <xdr:spPr>
        <a:xfrm>
          <a:off x="4314825" y="1238250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48</xdr:row>
      <xdr:rowOff>9525</xdr:rowOff>
    </xdr:from>
    <xdr:to>
      <xdr:col>6</xdr:col>
      <xdr:colOff>0</xdr:colOff>
      <xdr:row>51</xdr:row>
      <xdr:rowOff>142875</xdr:rowOff>
    </xdr:to>
    <xdr:cxnSp macro="">
      <xdr:nvCxnSpPr>
        <xdr:cNvPr id="11" name="Rak pil 10"/>
        <xdr:cNvCxnSpPr/>
      </xdr:nvCxnSpPr>
      <xdr:spPr>
        <a:xfrm>
          <a:off x="4314825" y="73247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19054</xdr:colOff>
      <xdr:row>37</xdr:row>
      <xdr:rowOff>19051</xdr:rowOff>
    </xdr:from>
    <xdr:to>
      <xdr:col>12</xdr:col>
      <xdr:colOff>361949</xdr:colOff>
      <xdr:row>57</xdr:row>
      <xdr:rowOff>3</xdr:rowOff>
    </xdr:to>
    <xdr:cxnSp macro="">
      <xdr:nvCxnSpPr>
        <xdr:cNvPr id="24" name="Vinklad  23"/>
        <xdr:cNvCxnSpPr/>
      </xdr:nvCxnSpPr>
      <xdr:spPr>
        <a:xfrm rot="16200000" flipH="1">
          <a:off x="6724651" y="6924679"/>
          <a:ext cx="2876552" cy="342895"/>
        </a:xfrm>
        <a:prstGeom prst="bentConnector3">
          <a:avLst>
            <a:gd name="adj1" fmla="val -662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581027</xdr:colOff>
      <xdr:row>57</xdr:row>
      <xdr:rowOff>0</xdr:rowOff>
    </xdr:from>
    <xdr:to>
      <xdr:col>12</xdr:col>
      <xdr:colOff>361950</xdr:colOff>
      <xdr:row>57</xdr:row>
      <xdr:rowOff>0</xdr:rowOff>
    </xdr:to>
    <xdr:cxnSp macro="">
      <xdr:nvCxnSpPr>
        <xdr:cNvPr id="29" name="Rak pil 28"/>
        <xdr:cNvCxnSpPr/>
      </xdr:nvCxnSpPr>
      <xdr:spPr>
        <a:xfrm flipH="1">
          <a:off x="7927183" y="8822531"/>
          <a:ext cx="388142" cy="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349250</xdr:colOff>
      <xdr:row>2</xdr:row>
      <xdr:rowOff>82550</xdr:rowOff>
    </xdr:from>
    <xdr:to>
      <xdr:col>21</xdr:col>
      <xdr:colOff>114300</xdr:colOff>
      <xdr:row>20</xdr:row>
      <xdr:rowOff>31750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8919" t="29905" r="24797" b="42095"/>
        <a:stretch>
          <a:fillRect/>
        </a:stretch>
      </xdr:blipFill>
      <xdr:spPr bwMode="auto">
        <a:xfrm>
          <a:off x="8816975" y="387350"/>
          <a:ext cx="4641850" cy="269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0</xdr:colOff>
      <xdr:row>17</xdr:row>
      <xdr:rowOff>9525</xdr:rowOff>
    </xdr:from>
    <xdr:to>
      <xdr:col>13</xdr:col>
      <xdr:colOff>7144</xdr:colOff>
      <xdr:row>69</xdr:row>
      <xdr:rowOff>133352</xdr:rowOff>
    </xdr:to>
    <xdr:cxnSp macro="">
      <xdr:nvCxnSpPr>
        <xdr:cNvPr id="3" name="Vinklad  2"/>
        <xdr:cNvCxnSpPr/>
      </xdr:nvCxnSpPr>
      <xdr:spPr>
        <a:xfrm rot="16200000" flipH="1">
          <a:off x="4142183" y="6316267"/>
          <a:ext cx="8048627" cy="616744"/>
        </a:xfrm>
        <a:prstGeom prst="bentConnector3">
          <a:avLst>
            <a:gd name="adj1" fmla="val -123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9525</xdr:colOff>
      <xdr:row>69</xdr:row>
      <xdr:rowOff>133350</xdr:rowOff>
    </xdr:from>
    <xdr:to>
      <xdr:col>13</xdr:col>
      <xdr:colOff>14288</xdr:colOff>
      <xdr:row>69</xdr:row>
      <xdr:rowOff>133350</xdr:rowOff>
    </xdr:to>
    <xdr:cxnSp macro="">
      <xdr:nvCxnSpPr>
        <xdr:cNvPr id="4" name="Rak pil 3"/>
        <xdr:cNvCxnSpPr/>
      </xdr:nvCxnSpPr>
      <xdr:spPr>
        <a:xfrm flipH="1">
          <a:off x="7867650" y="10648950"/>
          <a:ext cx="614363" cy="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61</xdr:row>
      <xdr:rowOff>19050</xdr:rowOff>
    </xdr:from>
    <xdr:to>
      <xdr:col>6</xdr:col>
      <xdr:colOff>0</xdr:colOff>
      <xdr:row>65</xdr:row>
      <xdr:rowOff>7144</xdr:rowOff>
    </xdr:to>
    <xdr:cxnSp macro="">
      <xdr:nvCxnSpPr>
        <xdr:cNvPr id="5" name="Rak pil 4"/>
        <xdr:cNvCxnSpPr/>
      </xdr:nvCxnSpPr>
      <xdr:spPr>
        <a:xfrm>
          <a:off x="4200525" y="9315450"/>
          <a:ext cx="0" cy="59769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8</xdr:row>
      <xdr:rowOff>9525</xdr:rowOff>
    </xdr:from>
    <xdr:to>
      <xdr:col>6</xdr:col>
      <xdr:colOff>9525</xdr:colOff>
      <xdr:row>11</xdr:row>
      <xdr:rowOff>150019</xdr:rowOff>
    </xdr:to>
    <xdr:cxnSp macro="">
      <xdr:nvCxnSpPr>
        <xdr:cNvPr id="6" name="Rak pil 5"/>
        <xdr:cNvCxnSpPr/>
      </xdr:nvCxnSpPr>
      <xdr:spPr>
        <a:xfrm>
          <a:off x="4210050" y="1228725"/>
          <a:ext cx="0" cy="59769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</xdr:colOff>
      <xdr:row>28</xdr:row>
      <xdr:rowOff>9525</xdr:rowOff>
    </xdr:from>
    <xdr:to>
      <xdr:col>13</xdr:col>
      <xdr:colOff>7144</xdr:colOff>
      <xdr:row>28</xdr:row>
      <xdr:rowOff>9525</xdr:rowOff>
    </xdr:to>
    <xdr:cxnSp macro="">
      <xdr:nvCxnSpPr>
        <xdr:cNvPr id="7" name="Rak 6"/>
        <xdr:cNvCxnSpPr/>
      </xdr:nvCxnSpPr>
      <xdr:spPr>
        <a:xfrm>
          <a:off x="7877175" y="4276725"/>
          <a:ext cx="597694" cy="0"/>
        </a:xfrm>
        <a:prstGeom prst="line">
          <a:avLst/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19050</xdr:colOff>
      <xdr:row>37</xdr:row>
      <xdr:rowOff>28575</xdr:rowOff>
    </xdr:from>
    <xdr:to>
      <xdr:col>12</xdr:col>
      <xdr:colOff>361945</xdr:colOff>
      <xdr:row>57</xdr:row>
      <xdr:rowOff>57152</xdr:rowOff>
    </xdr:to>
    <xdr:cxnSp macro="">
      <xdr:nvCxnSpPr>
        <xdr:cNvPr id="9" name="Vinklad  8"/>
        <xdr:cNvCxnSpPr/>
      </xdr:nvCxnSpPr>
      <xdr:spPr>
        <a:xfrm rot="16200000" flipH="1">
          <a:off x="6510334" y="7034216"/>
          <a:ext cx="3076577" cy="342895"/>
        </a:xfrm>
        <a:prstGeom prst="bentConnector3">
          <a:avLst>
            <a:gd name="adj1" fmla="val -662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9525</xdr:colOff>
      <xdr:row>48</xdr:row>
      <xdr:rowOff>0</xdr:rowOff>
    </xdr:from>
    <xdr:to>
      <xdr:col>6</xdr:col>
      <xdr:colOff>9525</xdr:colOff>
      <xdr:row>51</xdr:row>
      <xdr:rowOff>140494</xdr:rowOff>
    </xdr:to>
    <xdr:cxnSp macro="">
      <xdr:nvCxnSpPr>
        <xdr:cNvPr id="13" name="Rak pil 12"/>
        <xdr:cNvCxnSpPr/>
      </xdr:nvCxnSpPr>
      <xdr:spPr>
        <a:xfrm>
          <a:off x="4210050" y="7315200"/>
          <a:ext cx="0" cy="59769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581025</xdr:colOff>
      <xdr:row>57</xdr:row>
      <xdr:rowOff>47625</xdr:rowOff>
    </xdr:from>
    <xdr:to>
      <xdr:col>12</xdr:col>
      <xdr:colOff>359567</xdr:colOff>
      <xdr:row>57</xdr:row>
      <xdr:rowOff>47625</xdr:rowOff>
    </xdr:to>
    <xdr:cxnSp macro="">
      <xdr:nvCxnSpPr>
        <xdr:cNvPr id="14" name="Rak pil 13"/>
        <xdr:cNvCxnSpPr/>
      </xdr:nvCxnSpPr>
      <xdr:spPr>
        <a:xfrm flipH="1">
          <a:off x="7829550" y="8734425"/>
          <a:ext cx="388142" cy="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17</xdr:row>
      <xdr:rowOff>9525</xdr:rowOff>
    </xdr:from>
    <xdr:to>
      <xdr:col>5</xdr:col>
      <xdr:colOff>600075</xdr:colOff>
      <xdr:row>20</xdr:row>
      <xdr:rowOff>142875</xdr:rowOff>
    </xdr:to>
    <xdr:cxnSp macro="">
      <xdr:nvCxnSpPr>
        <xdr:cNvPr id="3" name="Rak pil 2"/>
        <xdr:cNvCxnSpPr/>
      </xdr:nvCxnSpPr>
      <xdr:spPr>
        <a:xfrm>
          <a:off x="4210050" y="27527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28576</xdr:colOff>
      <xdr:row>5</xdr:row>
      <xdr:rowOff>152399</xdr:rowOff>
    </xdr:from>
    <xdr:to>
      <xdr:col>12</xdr:col>
      <xdr:colOff>600076</xdr:colOff>
      <xdr:row>37</xdr:row>
      <xdr:rowOff>142874</xdr:rowOff>
    </xdr:to>
    <xdr:cxnSp macro="">
      <xdr:nvCxnSpPr>
        <xdr:cNvPr id="4" name="Vinklad  3"/>
        <xdr:cNvCxnSpPr/>
      </xdr:nvCxnSpPr>
      <xdr:spPr>
        <a:xfrm rot="16200000" flipH="1">
          <a:off x="5757863" y="3214687"/>
          <a:ext cx="4867275" cy="571500"/>
        </a:xfrm>
        <a:prstGeom prst="bentConnector3">
          <a:avLst>
            <a:gd name="adj1" fmla="val -294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30</xdr:row>
      <xdr:rowOff>9525</xdr:rowOff>
    </xdr:from>
    <xdr:to>
      <xdr:col>5</xdr:col>
      <xdr:colOff>600075</xdr:colOff>
      <xdr:row>33</xdr:row>
      <xdr:rowOff>142875</xdr:rowOff>
    </xdr:to>
    <xdr:cxnSp macro="">
      <xdr:nvCxnSpPr>
        <xdr:cNvPr id="5" name="Rak pil 4"/>
        <xdr:cNvCxnSpPr/>
      </xdr:nvCxnSpPr>
      <xdr:spPr>
        <a:xfrm>
          <a:off x="421005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37</xdr:row>
      <xdr:rowOff>133351</xdr:rowOff>
    </xdr:from>
    <xdr:to>
      <xdr:col>13</xdr:col>
      <xdr:colOff>9525</xdr:colOff>
      <xdr:row>37</xdr:row>
      <xdr:rowOff>142875</xdr:rowOff>
    </xdr:to>
    <xdr:cxnSp macro="">
      <xdr:nvCxnSpPr>
        <xdr:cNvPr id="6" name="Rak pil 5"/>
        <xdr:cNvCxnSpPr/>
      </xdr:nvCxnSpPr>
      <xdr:spPr>
        <a:xfrm flipH="1">
          <a:off x="7867650" y="5924551"/>
          <a:ext cx="628650" cy="952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317500</xdr:colOff>
      <xdr:row>2</xdr:row>
      <xdr:rowOff>126998</xdr:rowOff>
    </xdr:from>
    <xdr:to>
      <xdr:col>20</xdr:col>
      <xdr:colOff>116415</xdr:colOff>
      <xdr:row>15</xdr:row>
      <xdr:rowOff>112731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60245" t="41349" r="21227" b="33406"/>
        <a:stretch>
          <a:fillRect/>
        </a:stretch>
      </xdr:blipFill>
      <xdr:spPr bwMode="auto">
        <a:xfrm>
          <a:off x="8837083" y="571498"/>
          <a:ext cx="4095749" cy="1911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8</xdr:row>
      <xdr:rowOff>9525</xdr:rowOff>
    </xdr:from>
    <xdr:to>
      <xdr:col>5</xdr:col>
      <xdr:colOff>600075</xdr:colOff>
      <xdr:row>11</xdr:row>
      <xdr:rowOff>142875</xdr:rowOff>
    </xdr:to>
    <xdr:cxnSp macro="">
      <xdr:nvCxnSpPr>
        <xdr:cNvPr id="3" name="Rak pil 2"/>
        <xdr:cNvCxnSpPr/>
      </xdr:nvCxnSpPr>
      <xdr:spPr>
        <a:xfrm>
          <a:off x="4210050" y="27527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21</xdr:row>
      <xdr:rowOff>9525</xdr:rowOff>
    </xdr:from>
    <xdr:to>
      <xdr:col>5</xdr:col>
      <xdr:colOff>600075</xdr:colOff>
      <xdr:row>24</xdr:row>
      <xdr:rowOff>142875</xdr:rowOff>
    </xdr:to>
    <xdr:cxnSp macro="">
      <xdr:nvCxnSpPr>
        <xdr:cNvPr id="5" name="Rak pil 4"/>
        <xdr:cNvCxnSpPr/>
      </xdr:nvCxnSpPr>
      <xdr:spPr>
        <a:xfrm>
          <a:off x="421005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539755</xdr:colOff>
      <xdr:row>2</xdr:row>
      <xdr:rowOff>0</xdr:rowOff>
    </xdr:from>
    <xdr:to>
      <xdr:col>20</xdr:col>
      <xdr:colOff>317996</xdr:colOff>
      <xdr:row>10</xdr:row>
      <xdr:rowOff>71441</xdr:rowOff>
    </xdr:to>
    <xdr:pic>
      <xdr:nvPicPr>
        <xdr:cNvPr id="112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648" t="28836" r="21078" b="54407"/>
        <a:stretch>
          <a:fillRect/>
        </a:stretch>
      </xdr:blipFill>
      <xdr:spPr bwMode="auto">
        <a:xfrm>
          <a:off x="9059338" y="677344"/>
          <a:ext cx="4075075" cy="125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610658</xdr:colOff>
      <xdr:row>9</xdr:row>
      <xdr:rowOff>9525</xdr:rowOff>
    </xdr:from>
    <xdr:to>
      <xdr:col>5</xdr:col>
      <xdr:colOff>610658</xdr:colOff>
      <xdr:row>12</xdr:row>
      <xdr:rowOff>142875</xdr:rowOff>
    </xdr:to>
    <xdr:cxnSp macro="">
      <xdr:nvCxnSpPr>
        <xdr:cNvPr id="3" name="Rak pil 2"/>
        <xdr:cNvCxnSpPr/>
      </xdr:nvCxnSpPr>
      <xdr:spPr>
        <a:xfrm>
          <a:off x="4219575" y="1343025"/>
          <a:ext cx="0" cy="5778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18</xdr:row>
      <xdr:rowOff>10583</xdr:rowOff>
    </xdr:from>
    <xdr:to>
      <xdr:col>12</xdr:col>
      <xdr:colOff>600076</xdr:colOff>
      <xdr:row>38</xdr:row>
      <xdr:rowOff>142874</xdr:rowOff>
    </xdr:to>
    <xdr:cxnSp macro="">
      <xdr:nvCxnSpPr>
        <xdr:cNvPr id="4" name="Vinklad  3"/>
        <xdr:cNvCxnSpPr/>
      </xdr:nvCxnSpPr>
      <xdr:spPr>
        <a:xfrm rot="16200000" flipH="1">
          <a:off x="6657976" y="3925357"/>
          <a:ext cx="3095624" cy="600076"/>
        </a:xfrm>
        <a:prstGeom prst="bentConnector3">
          <a:avLst>
            <a:gd name="adj1" fmla="val -256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31</xdr:row>
      <xdr:rowOff>9525</xdr:rowOff>
    </xdr:from>
    <xdr:to>
      <xdr:col>5</xdr:col>
      <xdr:colOff>600075</xdr:colOff>
      <xdr:row>34</xdr:row>
      <xdr:rowOff>142875</xdr:rowOff>
    </xdr:to>
    <xdr:cxnSp macro="">
      <xdr:nvCxnSpPr>
        <xdr:cNvPr id="5" name="Rak pil 4"/>
        <xdr:cNvCxnSpPr/>
      </xdr:nvCxnSpPr>
      <xdr:spPr>
        <a:xfrm>
          <a:off x="421005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38</xdr:row>
      <xdr:rowOff>133351</xdr:rowOff>
    </xdr:from>
    <xdr:to>
      <xdr:col>13</xdr:col>
      <xdr:colOff>9525</xdr:colOff>
      <xdr:row>38</xdr:row>
      <xdr:rowOff>142875</xdr:rowOff>
    </xdr:to>
    <xdr:cxnSp macro="">
      <xdr:nvCxnSpPr>
        <xdr:cNvPr id="6" name="Rak pil 5"/>
        <xdr:cNvCxnSpPr/>
      </xdr:nvCxnSpPr>
      <xdr:spPr>
        <a:xfrm flipH="1">
          <a:off x="7867650" y="5924551"/>
          <a:ext cx="628650" cy="952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402168</xdr:colOff>
      <xdr:row>3</xdr:row>
      <xdr:rowOff>63501</xdr:rowOff>
    </xdr:from>
    <xdr:to>
      <xdr:col>19</xdr:col>
      <xdr:colOff>365600</xdr:colOff>
      <xdr:row>20</xdr:row>
      <xdr:rowOff>21168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909" t="46355" r="24172" b="22089"/>
        <a:stretch>
          <a:fillRect/>
        </a:stretch>
      </xdr:blipFill>
      <xdr:spPr bwMode="auto">
        <a:xfrm>
          <a:off x="8921751" y="508001"/>
          <a:ext cx="3646432" cy="2476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18</xdr:row>
      <xdr:rowOff>9525</xdr:rowOff>
    </xdr:from>
    <xdr:to>
      <xdr:col>5</xdr:col>
      <xdr:colOff>600075</xdr:colOff>
      <xdr:row>21</xdr:row>
      <xdr:rowOff>142875</xdr:rowOff>
    </xdr:to>
    <xdr:cxnSp macro="">
      <xdr:nvCxnSpPr>
        <xdr:cNvPr id="2" name="Rak pil 1"/>
        <xdr:cNvCxnSpPr/>
      </xdr:nvCxnSpPr>
      <xdr:spPr>
        <a:xfrm>
          <a:off x="4210050" y="27527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28576</xdr:colOff>
      <xdr:row>6</xdr:row>
      <xdr:rowOff>152399</xdr:rowOff>
    </xdr:from>
    <xdr:to>
      <xdr:col>12</xdr:col>
      <xdr:colOff>600076</xdr:colOff>
      <xdr:row>38</xdr:row>
      <xdr:rowOff>142874</xdr:rowOff>
    </xdr:to>
    <xdr:cxnSp macro="">
      <xdr:nvCxnSpPr>
        <xdr:cNvPr id="3" name="Vinklad  2"/>
        <xdr:cNvCxnSpPr/>
      </xdr:nvCxnSpPr>
      <xdr:spPr>
        <a:xfrm rot="16200000" flipH="1">
          <a:off x="5757863" y="3214687"/>
          <a:ext cx="4867275" cy="571500"/>
        </a:xfrm>
        <a:prstGeom prst="bentConnector3">
          <a:avLst>
            <a:gd name="adj1" fmla="val -294"/>
          </a:avLst>
        </a:prstGeom>
        <a:ln w="254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600075</xdr:colOff>
      <xdr:row>31</xdr:row>
      <xdr:rowOff>9525</xdr:rowOff>
    </xdr:from>
    <xdr:to>
      <xdr:col>5</xdr:col>
      <xdr:colOff>600075</xdr:colOff>
      <xdr:row>34</xdr:row>
      <xdr:rowOff>142875</xdr:rowOff>
    </xdr:to>
    <xdr:cxnSp macro="">
      <xdr:nvCxnSpPr>
        <xdr:cNvPr id="4" name="Rak pil 3"/>
        <xdr:cNvCxnSpPr/>
      </xdr:nvCxnSpPr>
      <xdr:spPr>
        <a:xfrm>
          <a:off x="4210050" y="4733925"/>
          <a:ext cx="0" cy="590550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600075</xdr:colOff>
      <xdr:row>38</xdr:row>
      <xdr:rowOff>133351</xdr:rowOff>
    </xdr:from>
    <xdr:to>
      <xdr:col>13</xdr:col>
      <xdr:colOff>9525</xdr:colOff>
      <xdr:row>38</xdr:row>
      <xdr:rowOff>142875</xdr:rowOff>
    </xdr:to>
    <xdr:cxnSp macro="">
      <xdr:nvCxnSpPr>
        <xdr:cNvPr id="5" name="Rak pil 4"/>
        <xdr:cNvCxnSpPr/>
      </xdr:nvCxnSpPr>
      <xdr:spPr>
        <a:xfrm flipH="1">
          <a:off x="7867650" y="5924551"/>
          <a:ext cx="628650" cy="9524"/>
        </a:xfrm>
        <a:prstGeom prst="straightConnector1">
          <a:avLst/>
        </a:prstGeom>
        <a:ln w="25400">
          <a:tailEnd type="arrow" w="lg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275168</xdr:colOff>
      <xdr:row>3</xdr:row>
      <xdr:rowOff>127001</xdr:rowOff>
    </xdr:from>
    <xdr:to>
      <xdr:col>19</xdr:col>
      <xdr:colOff>385541</xdr:colOff>
      <xdr:row>19</xdr:row>
      <xdr:rowOff>105834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8790" t="34929" r="24657" b="35147"/>
        <a:stretch>
          <a:fillRect/>
        </a:stretch>
      </xdr:blipFill>
      <xdr:spPr bwMode="auto">
        <a:xfrm>
          <a:off x="8794751" y="571501"/>
          <a:ext cx="3793373" cy="234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.vml"/><Relationship Id="rId2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.vml"/><Relationship Id="rId2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4"/>
  <sheetViews>
    <sheetView view="pageLayout" workbookViewId="0">
      <selection activeCell="D12" sqref="D12"/>
    </sheetView>
  </sheetViews>
  <sheetFormatPr baseColWidth="10" defaultColWidth="8.83203125" defaultRowHeight="12" customHeight="1" x14ac:dyDescent="0"/>
  <cols>
    <col min="1" max="1" width="3.33203125" style="1" customWidth="1"/>
    <col min="2" max="2" width="5.1640625" style="1" customWidth="1"/>
    <col min="3" max="16384" width="8.83203125" style="1"/>
  </cols>
  <sheetData>
    <row r="2" spans="2:3" ht="12" customHeight="1">
      <c r="B2" s="2" t="s">
        <v>97</v>
      </c>
    </row>
    <row r="3" spans="2:3" ht="12" customHeight="1">
      <c r="B3" s="67" t="s">
        <v>98</v>
      </c>
    </row>
    <row r="5" spans="2:3" ht="12" customHeight="1">
      <c r="B5" s="1" t="s">
        <v>99</v>
      </c>
    </row>
    <row r="6" spans="2:3" ht="12" customHeight="1">
      <c r="B6" s="1" t="s">
        <v>3</v>
      </c>
      <c r="C6" s="65">
        <v>0.45</v>
      </c>
    </row>
    <row r="7" spans="2:3" ht="12" customHeight="1">
      <c r="B7" s="1" t="s">
        <v>4</v>
      </c>
      <c r="C7" s="65">
        <v>0.4</v>
      </c>
    </row>
    <row r="8" spans="2:3" ht="12" customHeight="1">
      <c r="B8" s="1" t="s">
        <v>5</v>
      </c>
      <c r="C8" s="65">
        <v>0.35</v>
      </c>
    </row>
    <row r="10" spans="2:3" ht="12" customHeight="1">
      <c r="B10" s="1" t="s">
        <v>100</v>
      </c>
    </row>
    <row r="11" spans="2:3" ht="12" customHeight="1">
      <c r="B11" s="66">
        <v>600</v>
      </c>
      <c r="C11" s="1" t="s">
        <v>101</v>
      </c>
    </row>
    <row r="14" spans="2:3" ht="12" customHeight="1">
      <c r="B14" s="35"/>
    </row>
  </sheetData>
  <phoneticPr fontId="20" type="noConversion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/>
  <headerFooter>
    <oddHeader>&amp;L&amp;"Arial Black,Kursiv"&amp;K828282Arbetsversion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29"/>
  <sheetViews>
    <sheetView view="pageLayout" workbookViewId="0">
      <selection activeCell="G46" sqref="G46"/>
    </sheetView>
  </sheetViews>
  <sheetFormatPr baseColWidth="10" defaultColWidth="8.83203125" defaultRowHeight="12" customHeight="1" x14ac:dyDescent="0"/>
  <cols>
    <col min="1" max="1" width="8.83203125" style="266"/>
    <col min="2" max="2" width="10.33203125" style="266" customWidth="1"/>
    <col min="3" max="16384" width="8.83203125" style="266"/>
  </cols>
  <sheetData>
    <row r="2" spans="2:12" ht="12" customHeight="1">
      <c r="B2" s="265" t="s">
        <v>159</v>
      </c>
    </row>
    <row r="4" spans="2:12" ht="12" customHeight="1">
      <c r="B4" s="294" t="s">
        <v>150</v>
      </c>
      <c r="C4" s="182" t="s">
        <v>67</v>
      </c>
      <c r="D4" s="182" t="s">
        <v>68</v>
      </c>
      <c r="E4" s="182" t="s">
        <v>69</v>
      </c>
      <c r="F4" s="182" t="s">
        <v>70</v>
      </c>
      <c r="G4" s="182" t="s">
        <v>71</v>
      </c>
      <c r="H4" s="182" t="s">
        <v>72</v>
      </c>
      <c r="I4" s="182" t="s">
        <v>73</v>
      </c>
      <c r="J4" s="182" t="s">
        <v>8</v>
      </c>
      <c r="K4" s="182" t="s">
        <v>65</v>
      </c>
      <c r="L4" s="182" t="s">
        <v>66</v>
      </c>
    </row>
    <row r="5" spans="2:12" ht="12" customHeight="1">
      <c r="B5" s="295"/>
      <c r="C5" s="264" t="s">
        <v>109</v>
      </c>
      <c r="D5" s="264" t="s">
        <v>109</v>
      </c>
      <c r="E5" s="264" t="s">
        <v>109</v>
      </c>
      <c r="F5" s="264" t="s">
        <v>110</v>
      </c>
      <c r="G5" s="264" t="s">
        <v>110</v>
      </c>
      <c r="H5" s="264" t="s">
        <v>110</v>
      </c>
      <c r="I5" s="264" t="s">
        <v>110</v>
      </c>
      <c r="J5" s="264" t="s">
        <v>109</v>
      </c>
      <c r="K5" s="264" t="s">
        <v>109</v>
      </c>
      <c r="L5" s="264" t="s">
        <v>110</v>
      </c>
    </row>
    <row r="6" spans="2:12" ht="12" customHeight="1">
      <c r="B6" s="266" t="s">
        <v>151</v>
      </c>
      <c r="C6" s="92">
        <f>'1a'!C41</f>
        <v>0.14370868648130392</v>
      </c>
      <c r="D6" s="92">
        <f>'1a'!D41</f>
        <v>0.10260207094918504</v>
      </c>
      <c r="E6" s="270">
        <f>'1a'!E41</f>
        <v>5.6295025886864813</v>
      </c>
      <c r="F6" s="94">
        <f>'1a'!F41</f>
        <v>21.308017737296261</v>
      </c>
      <c r="G6" s="270">
        <f>'1a'!G41</f>
        <v>10.260862895493769</v>
      </c>
      <c r="H6" s="94">
        <f>'1a'!H41</f>
        <v>53.490110738255034</v>
      </c>
      <c r="I6" s="94">
        <f>'1a'!I41</f>
        <v>22.125047315436245</v>
      </c>
      <c r="J6" s="94">
        <f>'1a'!J41</f>
        <v>27.535599232981777</v>
      </c>
      <c r="K6" s="92">
        <f>'1a'!K41</f>
        <v>0.11079578139980825</v>
      </c>
      <c r="L6" s="270">
        <f>'1a'!L41</f>
        <v>2.1411527229146694</v>
      </c>
    </row>
    <row r="7" spans="2:12" ht="12" customHeight="1">
      <c r="B7" s="266" t="s">
        <v>152</v>
      </c>
      <c r="C7" s="92">
        <f>'1b'!C48</f>
        <v>0.2122216599508599</v>
      </c>
      <c r="D7" s="92">
        <f>'1b'!D48</f>
        <v>0.17834290098280098</v>
      </c>
      <c r="E7" s="270">
        <f>'1b'!E48</f>
        <v>4.9709734054054033</v>
      </c>
      <c r="F7" s="94">
        <f>'1b'!F48</f>
        <v>30.166319410319403</v>
      </c>
      <c r="G7" s="270">
        <f>'1b'!G48</f>
        <v>18.608621130221131</v>
      </c>
      <c r="H7" s="94">
        <f>'1b'!H48</f>
        <v>41.695009533169511</v>
      </c>
      <c r="I7" s="94">
        <f>'1b'!I48</f>
        <v>22.976611636363632</v>
      </c>
      <c r="J7" s="94">
        <f>'1b'!J48</f>
        <v>55.196230761670762</v>
      </c>
      <c r="K7" s="92">
        <f>'1b'!K48</f>
        <v>0.35737191154791154</v>
      </c>
      <c r="L7" s="270">
        <f>'1b'!L48</f>
        <v>0.94597835380835382</v>
      </c>
    </row>
    <row r="8" spans="2:12" ht="12" customHeight="1">
      <c r="B8" s="266" t="s">
        <v>153</v>
      </c>
      <c r="C8" s="92">
        <f>'2a'!C71</f>
        <v>0.39295672380952379</v>
      </c>
      <c r="D8" s="92">
        <f>'2a'!D71</f>
        <v>0.20709717857142859</v>
      </c>
      <c r="E8" s="270">
        <f>'2a'!E71</f>
        <v>6.6897747619047623</v>
      </c>
      <c r="F8" s="94">
        <f>'2a'!F71</f>
        <v>23.223082142857141</v>
      </c>
      <c r="G8" s="270">
        <f>'2a'!G71</f>
        <v>11.700079999999998</v>
      </c>
      <c r="H8" s="94">
        <f>'2a'!H71</f>
        <v>40.360642380952378</v>
      </c>
      <c r="I8" s="94">
        <f>'2a'!I71</f>
        <v>20.447523333333326</v>
      </c>
      <c r="J8" s="94">
        <f>'2a'!J71</f>
        <v>31.979140714285709</v>
      </c>
      <c r="K8" s="92">
        <f>'2a'!K71</f>
        <v>4.4543999999999979E-2</v>
      </c>
      <c r="L8" s="270">
        <f>'2a'!L71</f>
        <v>1.8229964285714286</v>
      </c>
    </row>
    <row r="9" spans="2:12" ht="12" customHeight="1">
      <c r="B9" s="266" t="s">
        <v>154</v>
      </c>
      <c r="C9" s="92">
        <f>'2b'!C71</f>
        <v>0.12832575280432074</v>
      </c>
      <c r="D9" s="92">
        <f>'2b'!D71</f>
        <v>0.10018662457415869</v>
      </c>
      <c r="E9" s="270">
        <f>'2b'!E71</f>
        <v>2.6286279933527212</v>
      </c>
      <c r="F9" s="94">
        <f>'2b'!F71</f>
        <v>12.627196302451182</v>
      </c>
      <c r="G9" s="270">
        <f>'2b'!G71</f>
        <v>8.7384391358537581</v>
      </c>
      <c r="H9" s="94">
        <f>'2b'!H71</f>
        <v>21.12503319484836</v>
      </c>
      <c r="I9" s="94">
        <f>'2b'!I71</f>
        <v>11.615624302035727</v>
      </c>
      <c r="J9" s="94">
        <f>'2b'!J71</f>
        <v>11.714976692978809</v>
      </c>
      <c r="K9" s="92">
        <f>'2b'!K71</f>
        <v>2.3132530120481925E-2</v>
      </c>
      <c r="L9" s="270">
        <f>'2b'!L71</f>
        <v>1.0212852887411714</v>
      </c>
    </row>
    <row r="10" spans="2:12" ht="12" customHeight="1">
      <c r="B10" s="266" t="s">
        <v>155</v>
      </c>
      <c r="C10" s="92">
        <f>'3a'!C40</f>
        <v>0.43649667052023122</v>
      </c>
      <c r="D10" s="92">
        <f>'3a'!D40</f>
        <v>0.23011257225433526</v>
      </c>
      <c r="E10" s="270">
        <f>'3a'!E40</f>
        <v>7.4731886705202308</v>
      </c>
      <c r="F10" s="94">
        <f>'3a'!F40</f>
        <v>25.541037572254332</v>
      </c>
      <c r="G10" s="270">
        <f>'3a'!G40</f>
        <v>12.896981271676301</v>
      </c>
      <c r="H10" s="94">
        <f>'3a'!H40</f>
        <v>40.615553757225435</v>
      </c>
      <c r="I10" s="94">
        <f>'3a'!I40</f>
        <v>19.63989676300578</v>
      </c>
      <c r="J10" s="94">
        <f>'3a'!J40</f>
        <v>34.96891560693642</v>
      </c>
      <c r="K10" s="92">
        <f>'3a'!K40</f>
        <v>0.13812763005780343</v>
      </c>
      <c r="L10" s="270">
        <f>'3a'!L40</f>
        <v>2.6170458381502892</v>
      </c>
    </row>
    <row r="11" spans="2:12" ht="12" customHeight="1">
      <c r="B11" s="266" t="s">
        <v>156</v>
      </c>
      <c r="C11" s="92">
        <f>'3b'!C31</f>
        <v>0.19608303468208094</v>
      </c>
      <c r="D11" s="92">
        <f>'3b'!D31</f>
        <v>0.17472745664739886</v>
      </c>
      <c r="E11" s="270">
        <f>'3b'!E31</f>
        <v>6.4505341040462447</v>
      </c>
      <c r="F11" s="94">
        <f>'3b'!F31</f>
        <v>10.278359826589595</v>
      </c>
      <c r="G11" s="270">
        <f>'3b'!G31</f>
        <v>8.0961849710982658</v>
      </c>
      <c r="H11" s="94">
        <f>'3b'!H31</f>
        <v>33.011028901734093</v>
      </c>
      <c r="I11" s="94">
        <f>'3b'!I31</f>
        <v>26.408823121387279</v>
      </c>
      <c r="J11" s="94">
        <f>'3b'!J31</f>
        <v>21.180563583815033</v>
      </c>
      <c r="K11" s="92">
        <f>'3b'!K31</f>
        <v>0</v>
      </c>
      <c r="L11" s="270">
        <f>'3b'!L31</f>
        <v>0.56091242774566463</v>
      </c>
    </row>
    <row r="12" spans="2:12" ht="12" customHeight="1">
      <c r="B12" s="266" t="s">
        <v>157</v>
      </c>
      <c r="C12" s="92">
        <f>'4a'!C41</f>
        <v>0.4370922538293216</v>
      </c>
      <c r="D12" s="92">
        <f>'4a'!D41</f>
        <v>0.21924531728665203</v>
      </c>
      <c r="E12" s="270">
        <f>'4a'!E41</f>
        <v>6.982610940919038</v>
      </c>
      <c r="F12" s="94">
        <f>'4a'!F41</f>
        <v>24.554704595185996</v>
      </c>
      <c r="G12" s="270">
        <f>'4a'!G41</f>
        <v>11.601873085339168</v>
      </c>
      <c r="H12" s="94">
        <f>'4a'!H41</f>
        <v>38.671693654266953</v>
      </c>
      <c r="I12" s="94">
        <f>'4a'!I41</f>
        <v>17.162569365426695</v>
      </c>
      <c r="J12" s="94">
        <f>'4a'!J41</f>
        <v>32.775781181619259</v>
      </c>
      <c r="K12" s="92">
        <f>'4a'!K41</f>
        <v>9.093741794310721E-2</v>
      </c>
      <c r="L12" s="270">
        <f>'4a'!L41</f>
        <v>2.6995194748358857</v>
      </c>
    </row>
    <row r="13" spans="2:12" ht="12" customHeight="1">
      <c r="B13" s="267" t="s">
        <v>158</v>
      </c>
      <c r="C13" s="269">
        <f>'4b'!C41</f>
        <v>0.17222789934354482</v>
      </c>
      <c r="D13" s="269">
        <f>'4b'!D41</f>
        <v>0.13496115426695843</v>
      </c>
      <c r="E13" s="271">
        <f>'4b'!E41</f>
        <v>5.8928875273522969</v>
      </c>
      <c r="F13" s="272">
        <f>'4b'!F41</f>
        <v>19.385881838074393</v>
      </c>
      <c r="G13" s="271">
        <f>'4b'!G41</f>
        <v>10.407324288840261</v>
      </c>
      <c r="H13" s="272">
        <f>'4b'!H41</f>
        <v>45.527169584245073</v>
      </c>
      <c r="I13" s="272">
        <f>'4b'!I41</f>
        <v>21.133446498905908</v>
      </c>
      <c r="J13" s="272">
        <f>'4b'!J41</f>
        <v>32.814157549234132</v>
      </c>
      <c r="K13" s="269">
        <f>'4b'!K41</f>
        <v>5.9606126914660829E-2</v>
      </c>
      <c r="L13" s="271">
        <f>'4b'!L41</f>
        <v>1.4163944638949673</v>
      </c>
    </row>
    <row r="14" spans="2:12" ht="12" customHeight="1">
      <c r="B14" s="268" t="s">
        <v>160</v>
      </c>
      <c r="C14" s="273">
        <f>MEDIAN(C6:C13)</f>
        <v>0.20415234731647042</v>
      </c>
      <c r="D14" s="273">
        <f t="shared" ref="D14:L14" si="0">MEDIAN(D6:D13)</f>
        <v>0.17653517881509992</v>
      </c>
      <c r="E14" s="274">
        <f t="shared" si="0"/>
        <v>6.1717108156992708</v>
      </c>
      <c r="F14" s="275">
        <f t="shared" si="0"/>
        <v>22.265549940076703</v>
      </c>
      <c r="G14" s="274">
        <f t="shared" si="0"/>
        <v>11.004598687089715</v>
      </c>
      <c r="H14" s="275">
        <f t="shared" si="0"/>
        <v>40.488098069088906</v>
      </c>
      <c r="I14" s="275">
        <f t="shared" si="0"/>
        <v>20.790484916119617</v>
      </c>
      <c r="J14" s="275">
        <f t="shared" si="0"/>
        <v>32.377460947952486</v>
      </c>
      <c r="K14" s="273">
        <f t="shared" si="0"/>
        <v>7.5271772428884026E-2</v>
      </c>
      <c r="L14" s="274">
        <f t="shared" si="0"/>
        <v>1.6196954462331981</v>
      </c>
    </row>
    <row r="15" spans="2:12" ht="12" customHeight="1">
      <c r="C15" s="276"/>
      <c r="D15" s="276"/>
    </row>
    <row r="17" spans="2:12" ht="12" customHeight="1">
      <c r="B17" s="265" t="s">
        <v>162</v>
      </c>
    </row>
    <row r="19" spans="2:12" ht="12" customHeight="1">
      <c r="B19" s="294" t="s">
        <v>150</v>
      </c>
      <c r="C19" s="182" t="s">
        <v>67</v>
      </c>
      <c r="D19" s="182" t="s">
        <v>68</v>
      </c>
      <c r="E19" s="182" t="s">
        <v>69</v>
      </c>
      <c r="F19" s="182" t="s">
        <v>70</v>
      </c>
      <c r="G19" s="182" t="s">
        <v>71</v>
      </c>
      <c r="H19" s="182" t="s">
        <v>72</v>
      </c>
      <c r="I19" s="182" t="s">
        <v>73</v>
      </c>
      <c r="J19" s="182" t="s">
        <v>8</v>
      </c>
      <c r="K19" s="182" t="s">
        <v>65</v>
      </c>
      <c r="L19" s="182" t="s">
        <v>66</v>
      </c>
    </row>
    <row r="20" spans="2:12" ht="12" customHeight="1">
      <c r="B20" s="295"/>
      <c r="C20" s="264" t="s">
        <v>120</v>
      </c>
      <c r="D20" s="264" t="s">
        <v>120</v>
      </c>
      <c r="E20" s="264" t="s">
        <v>120</v>
      </c>
      <c r="F20" s="264" t="s">
        <v>121</v>
      </c>
      <c r="G20" s="264" t="s">
        <v>121</v>
      </c>
      <c r="H20" s="264" t="s">
        <v>121</v>
      </c>
      <c r="I20" s="264" t="s">
        <v>121</v>
      </c>
      <c r="J20" s="264" t="s">
        <v>120</v>
      </c>
      <c r="K20" s="264" t="s">
        <v>120</v>
      </c>
      <c r="L20" s="264" t="s">
        <v>121</v>
      </c>
    </row>
    <row r="21" spans="2:12" ht="12" customHeight="1">
      <c r="B21" s="266" t="s">
        <v>151</v>
      </c>
      <c r="C21" s="92">
        <f>'1a'!C43</f>
        <v>3.9066948158573769E-2</v>
      </c>
      <c r="D21" s="92">
        <f>'1a'!D43</f>
        <v>2.7892188599577757E-2</v>
      </c>
      <c r="E21" s="270">
        <f>'1a'!E43</f>
        <v>1.5303701618578465</v>
      </c>
      <c r="F21" s="94">
        <f>'1a'!F43</f>
        <v>5.7925463288763783</v>
      </c>
      <c r="G21" s="270">
        <f>'1a'!G43</f>
        <v>2.7893971381656115</v>
      </c>
      <c r="H21" s="94">
        <f>'1a'!H43</f>
        <v>14.541190476190474</v>
      </c>
      <c r="I21" s="270">
        <f>'1a'!I43</f>
        <v>6.0146543513957313</v>
      </c>
      <c r="J21" s="94">
        <f>'1a'!J43</f>
        <v>7.4855031667839524</v>
      </c>
      <c r="K21" s="92">
        <f>'1a'!K43</f>
        <v>3.0119634060520761E-2</v>
      </c>
      <c r="L21" s="270">
        <f>'1a'!L43</f>
        <v>0.58206851982172181</v>
      </c>
    </row>
    <row r="22" spans="2:12" ht="12" customHeight="1">
      <c r="B22" s="266" t="s">
        <v>152</v>
      </c>
      <c r="C22" s="92">
        <f>'1b'!C50</f>
        <v>6.0596645142823445E-2</v>
      </c>
      <c r="D22" s="92">
        <f>'1b'!D50</f>
        <v>5.0923084321830549E-2</v>
      </c>
      <c r="E22" s="270">
        <f>'1b'!E50</f>
        <v>1.4193853329180093</v>
      </c>
      <c r="F22" s="94">
        <f>'1b'!F50</f>
        <v>8.6135305557192492</v>
      </c>
      <c r="G22" s="270">
        <f>'1b'!G50</f>
        <v>5.3134068006364537</v>
      </c>
      <c r="H22" s="94">
        <f>'1b'!H50</f>
        <v>11.905371475716214</v>
      </c>
      <c r="I22" s="270">
        <f>'1b'!I50</f>
        <v>6.5606196004478727</v>
      </c>
      <c r="J22" s="94">
        <f>'1b'!J50</f>
        <v>15.760438446579052</v>
      </c>
      <c r="K22" s="92">
        <f>'1b'!K50</f>
        <v>0.10204207672815131</v>
      </c>
      <c r="L22" s="270">
        <f>'1b'!L50</f>
        <v>0.2701096326915467</v>
      </c>
    </row>
    <row r="23" spans="2:12" ht="12" customHeight="1">
      <c r="B23" s="266" t="s">
        <v>153</v>
      </c>
      <c r="C23" s="92">
        <f>'2a'!C73</f>
        <v>0.14664779151080032</v>
      </c>
      <c r="D23" s="92">
        <f>'2a'!D73</f>
        <v>7.7286739290759979E-2</v>
      </c>
      <c r="E23" s="270">
        <f>'2a'!E73</f>
        <v>2.4965616697617796</v>
      </c>
      <c r="F23" s="94">
        <f>'2a'!F73</f>
        <v>8.6666380849986222</v>
      </c>
      <c r="G23" s="270">
        <f>'2a'!G73</f>
        <v>4.3663609464826765</v>
      </c>
      <c r="H23" s="94">
        <f>'2a'!H73</f>
        <v>15.062216041868439</v>
      </c>
      <c r="I23" s="270">
        <f>'2a'!I73</f>
        <v>7.6308253734128257</v>
      </c>
      <c r="J23" s="94">
        <f>'2a'!J73</f>
        <v>11.93431763859147</v>
      </c>
      <c r="K23" s="92">
        <f>'2a'!K73</f>
        <v>1.6623406164754797E-2</v>
      </c>
      <c r="L23" s="270">
        <f>'2a'!L73</f>
        <v>0.68032529788614127</v>
      </c>
    </row>
    <row r="24" spans="2:12" ht="12" customHeight="1">
      <c r="B24" s="266" t="s">
        <v>154</v>
      </c>
      <c r="C24" s="92">
        <f>'2b'!C73</f>
        <v>5.1545477256115274E-2</v>
      </c>
      <c r="D24" s="92">
        <f>'2b'!D73</f>
        <v>4.0242642380823646E-2</v>
      </c>
      <c r="E24" s="270">
        <f>'2b'!E73</f>
        <v>1.0558588707658727</v>
      </c>
      <c r="F24" s="94">
        <f>'2b'!F73</f>
        <v>5.0720517557297757</v>
      </c>
      <c r="G24" s="270">
        <f>'2b'!G73</f>
        <v>3.5100282358595409</v>
      </c>
      <c r="H24" s="94">
        <f>'2b'!H73</f>
        <v>8.4854356532796658</v>
      </c>
      <c r="I24" s="270">
        <f>'2b'!I73</f>
        <v>4.6657267554794579</v>
      </c>
      <c r="J24" s="94">
        <f>'2b'!J73</f>
        <v>4.7056343055680694</v>
      </c>
      <c r="K24" s="92">
        <f>'2b'!K73</f>
        <v>9.2918005867451657E-3</v>
      </c>
      <c r="L24" s="270">
        <f>'2b'!L73</f>
        <v>0.41022660278553752</v>
      </c>
    </row>
    <row r="25" spans="2:12" ht="12" customHeight="1">
      <c r="B25" s="266" t="s">
        <v>155</v>
      </c>
      <c r="C25" s="92">
        <f>'3a'!C42</f>
        <v>0.16932132382618054</v>
      </c>
      <c r="D25" s="92">
        <f>'3a'!D42</f>
        <v>8.9262915377371174E-2</v>
      </c>
      <c r="E25" s="270">
        <f>'3a'!E42</f>
        <v>2.8989229113413151</v>
      </c>
      <c r="F25" s="94">
        <f>'3a'!F42</f>
        <v>9.9076180546212811</v>
      </c>
      <c r="G25" s="270">
        <f>'3a'!G42</f>
        <v>5.0028650612135079</v>
      </c>
      <c r="H25" s="94">
        <f>'3a'!H42</f>
        <v>15.7551701870039</v>
      </c>
      <c r="I25" s="270">
        <f>'3a'!I42</f>
        <v>7.6185078703080844</v>
      </c>
      <c r="J25" s="94">
        <f>'3a'!J42</f>
        <v>13.564784071034577</v>
      </c>
      <c r="K25" s="92">
        <f>'3a'!K42</f>
        <v>5.3581057446522251E-2</v>
      </c>
      <c r="L25" s="270">
        <f>'3a'!L42</f>
        <v>1.0151776537064443</v>
      </c>
    </row>
    <row r="26" spans="2:12" ht="12" customHeight="1">
      <c r="B26" s="266" t="s">
        <v>156</v>
      </c>
      <c r="C26" s="92">
        <f>'3b'!C33</f>
        <v>4.2605331574981163E-2</v>
      </c>
      <c r="D26" s="92">
        <f>'3b'!D33</f>
        <v>3.7965146948003015E-2</v>
      </c>
      <c r="E26" s="270">
        <f>'3b'!E33</f>
        <v>1.4015855312735499</v>
      </c>
      <c r="F26" s="94">
        <f>'3b'!F33</f>
        <v>2.2333035041446871</v>
      </c>
      <c r="G26" s="270">
        <f>'3b'!G33</f>
        <v>1.7591559909570458</v>
      </c>
      <c r="H26" s="94">
        <f>'3b'!H33</f>
        <v>7.1727053504144669</v>
      </c>
      <c r="I26" s="270">
        <f>'3b'!I33</f>
        <v>5.7381642803315733</v>
      </c>
      <c r="J26" s="94">
        <f>'3b'!J33</f>
        <v>4.6021571213263011</v>
      </c>
      <c r="K26" s="92">
        <f>'3b'!K33</f>
        <v>0</v>
      </c>
      <c r="L26" s="270">
        <f>'3b'!L33</f>
        <v>0.12187622456669175</v>
      </c>
    </row>
    <row r="27" spans="2:12" ht="12" customHeight="1">
      <c r="B27" s="266" t="s">
        <v>157</v>
      </c>
      <c r="C27" s="92">
        <f>'4a'!C43</f>
        <v>0.18769724305124877</v>
      </c>
      <c r="D27" s="92">
        <f>'4a'!D43</f>
        <v>9.4148869594632673E-2</v>
      </c>
      <c r="E27" s="270">
        <f>'4a'!E43</f>
        <v>2.998490161808649</v>
      </c>
      <c r="F27" s="94">
        <f>'4a'!F43</f>
        <v>10.544342335231436</v>
      </c>
      <c r="G27" s="270">
        <f>'4a'!G43</f>
        <v>4.9821052038112414</v>
      </c>
      <c r="H27" s="94">
        <f>'4a'!H43</f>
        <v>16.606494897671531</v>
      </c>
      <c r="I27" s="270">
        <f>'4a'!I43</f>
        <v>7.3699932344815915</v>
      </c>
      <c r="J27" s="94">
        <f>'4a'!J43</f>
        <v>14.074657495630603</v>
      </c>
      <c r="K27" s="92">
        <f>'4a'!K43</f>
        <v>3.9050572250098663E-2</v>
      </c>
      <c r="L27" s="270">
        <f>'4a'!L43</f>
        <v>1.1592343688335116</v>
      </c>
    </row>
    <row r="28" spans="2:12" ht="12" customHeight="1">
      <c r="B28" s="267" t="s">
        <v>158</v>
      </c>
      <c r="C28" s="269">
        <f>'4b'!C43</f>
        <v>3.8061874365298114E-2</v>
      </c>
      <c r="D28" s="269">
        <f>'4b'!D43</f>
        <v>2.9826030030465689E-2</v>
      </c>
      <c r="E28" s="271">
        <f>'4b'!E43</f>
        <v>1.3023113303351221</v>
      </c>
      <c r="F28" s="272">
        <f>'4b'!F43</f>
        <v>4.2842245756564612</v>
      </c>
      <c r="G28" s="271">
        <f>'4b'!G43</f>
        <v>2.2999889743217752</v>
      </c>
      <c r="H28" s="272">
        <f>'4b'!H43</f>
        <v>10.061374582910197</v>
      </c>
      <c r="I28" s="271">
        <f>'4b'!I43</f>
        <v>4.670431379660525</v>
      </c>
      <c r="J28" s="272">
        <f>'4b'!J43</f>
        <v>7.251835195125488</v>
      </c>
      <c r="K28" s="269">
        <f>'4b'!K43</f>
        <v>1.3172783983751631E-2</v>
      </c>
      <c r="L28" s="271">
        <f>'4b'!L43</f>
        <v>0.31301913535470766</v>
      </c>
    </row>
    <row r="29" spans="2:12" ht="12" customHeight="1">
      <c r="B29" s="268" t="s">
        <v>160</v>
      </c>
      <c r="C29" s="273">
        <f>MEDIAN(C21:C28)</f>
        <v>5.6071061199469363E-2</v>
      </c>
      <c r="D29" s="273">
        <f t="shared" ref="D29" si="1">MEDIAN(D21:D28)</f>
        <v>4.5582863351327094E-2</v>
      </c>
      <c r="E29" s="274">
        <f t="shared" ref="E29" si="2">MEDIAN(E21:E28)</f>
        <v>1.4748777473879278</v>
      </c>
      <c r="F29" s="275">
        <f t="shared" ref="F29" si="3">MEDIAN(F21:F28)</f>
        <v>7.2030384422978138</v>
      </c>
      <c r="G29" s="274">
        <f t="shared" ref="G29" si="4">MEDIAN(G21:G28)</f>
        <v>3.9381945911711087</v>
      </c>
      <c r="H29" s="275">
        <f t="shared" ref="H29" si="5">MEDIAN(H21:H28)</f>
        <v>13.223280975953344</v>
      </c>
      <c r="I29" s="274">
        <f t="shared" ref="I29" si="6">MEDIAN(I21:I28)</f>
        <v>6.287636975921802</v>
      </c>
      <c r="J29" s="275">
        <f t="shared" ref="J29" si="7">MEDIAN(J21:J28)</f>
        <v>9.7099104026877114</v>
      </c>
      <c r="K29" s="273">
        <f t="shared" ref="K29" si="8">MEDIAN(K21:K28)</f>
        <v>2.3371520112637781E-2</v>
      </c>
      <c r="L29" s="274">
        <f t="shared" ref="L29" si="9">MEDIAN(L21:L28)</f>
        <v>0.49614756130362969</v>
      </c>
    </row>
  </sheetData>
  <mergeCells count="2">
    <mergeCell ref="B4:B5"/>
    <mergeCell ref="B19:B20"/>
  </mergeCells>
  <phoneticPr fontId="20" type="noConversion"/>
  <conditionalFormatting sqref="C6:C13">
    <cfRule type="dataBar" priority="23">
      <dataBar>
        <cfvo type="min"/>
        <cfvo type="max"/>
        <color rgb="FFFF555A"/>
      </dataBar>
    </cfRule>
  </conditionalFormatting>
  <conditionalFormatting sqref="D6:D13">
    <cfRule type="dataBar" priority="22">
      <dataBar>
        <cfvo type="min"/>
        <cfvo type="max"/>
        <color rgb="FFFF555A"/>
      </dataBar>
    </cfRule>
  </conditionalFormatting>
  <conditionalFormatting sqref="E6:E13">
    <cfRule type="dataBar" priority="21">
      <dataBar>
        <cfvo type="min"/>
        <cfvo type="max"/>
        <color rgb="FFFF555A"/>
      </dataBar>
    </cfRule>
  </conditionalFormatting>
  <conditionalFormatting sqref="F6:F13">
    <cfRule type="dataBar" priority="20">
      <dataBar>
        <cfvo type="min"/>
        <cfvo type="max"/>
        <color rgb="FFFF555A"/>
      </dataBar>
    </cfRule>
  </conditionalFormatting>
  <conditionalFormatting sqref="G6:G13">
    <cfRule type="dataBar" priority="19">
      <dataBar>
        <cfvo type="min"/>
        <cfvo type="max"/>
        <color rgb="FFFF555A"/>
      </dataBar>
    </cfRule>
  </conditionalFormatting>
  <conditionalFormatting sqref="H6:H13">
    <cfRule type="dataBar" priority="18">
      <dataBar>
        <cfvo type="min"/>
        <cfvo type="max"/>
        <color rgb="FFFF555A"/>
      </dataBar>
    </cfRule>
  </conditionalFormatting>
  <conditionalFormatting sqref="I6:I13">
    <cfRule type="dataBar" priority="17">
      <dataBar>
        <cfvo type="min"/>
        <cfvo type="max"/>
        <color rgb="FFFF555A"/>
      </dataBar>
    </cfRule>
  </conditionalFormatting>
  <conditionalFormatting sqref="J6:J13">
    <cfRule type="dataBar" priority="16">
      <dataBar>
        <cfvo type="min"/>
        <cfvo type="max"/>
        <color rgb="FFFF555A"/>
      </dataBar>
    </cfRule>
  </conditionalFormatting>
  <conditionalFormatting sqref="K6:K13">
    <cfRule type="dataBar" priority="15">
      <dataBar>
        <cfvo type="min"/>
        <cfvo type="max"/>
        <color rgb="FFFF555A"/>
      </dataBar>
    </cfRule>
  </conditionalFormatting>
  <conditionalFormatting sqref="L6:L13">
    <cfRule type="dataBar" priority="14">
      <dataBar>
        <cfvo type="min"/>
        <cfvo type="max"/>
        <color rgb="FFFF555A"/>
      </dataBar>
    </cfRule>
  </conditionalFormatting>
  <conditionalFormatting sqref="C21:L28">
    <cfRule type="dataBar" priority="13">
      <dataBar>
        <cfvo type="min"/>
        <cfvo type="max"/>
        <color rgb="FFFF555A"/>
      </dataBar>
    </cfRule>
  </conditionalFormatting>
  <conditionalFormatting sqref="D21:D28">
    <cfRule type="dataBar" priority="2">
      <dataBar>
        <cfvo type="min"/>
        <cfvo type="max"/>
        <color rgb="FFFF555A"/>
      </dataBar>
    </cfRule>
  </conditionalFormatting>
  <conditionalFormatting sqref="E21:E28">
    <cfRule type="dataBar" priority="1">
      <dataBar>
        <cfvo type="min"/>
        <cfvo type="max"/>
        <color rgb="FFFF555A"/>
      </dataBar>
    </cfRule>
  </conditionalFormatting>
  <conditionalFormatting sqref="F21:F28">
    <cfRule type="dataBar" priority="10">
      <dataBar>
        <cfvo type="min"/>
        <cfvo type="max"/>
        <color rgb="FFFF555A"/>
      </dataBar>
    </cfRule>
  </conditionalFormatting>
  <conditionalFormatting sqref="G21:G28">
    <cfRule type="dataBar" priority="9">
      <dataBar>
        <cfvo type="min"/>
        <cfvo type="max"/>
        <color rgb="FFFF555A"/>
      </dataBar>
    </cfRule>
  </conditionalFormatting>
  <conditionalFormatting sqref="H21:H28">
    <cfRule type="dataBar" priority="8">
      <dataBar>
        <cfvo type="min"/>
        <cfvo type="max"/>
        <color rgb="FFFF555A"/>
      </dataBar>
    </cfRule>
  </conditionalFormatting>
  <conditionalFormatting sqref="I21:I28">
    <cfRule type="dataBar" priority="7">
      <dataBar>
        <cfvo type="min"/>
        <cfvo type="max"/>
        <color rgb="FFFF555A"/>
      </dataBar>
    </cfRule>
  </conditionalFormatting>
  <conditionalFormatting sqref="J21:J28">
    <cfRule type="dataBar" priority="6">
      <dataBar>
        <cfvo type="min"/>
        <cfvo type="max"/>
        <color rgb="FFFF555A"/>
      </dataBar>
    </cfRule>
  </conditionalFormatting>
  <conditionalFormatting sqref="K21:K28">
    <cfRule type="dataBar" priority="5">
      <dataBar>
        <cfvo type="min"/>
        <cfvo type="max"/>
        <color rgb="FFFF555A"/>
      </dataBar>
    </cfRule>
  </conditionalFormatting>
  <conditionalFormatting sqref="L21:L28">
    <cfRule type="dataBar" priority="4">
      <dataBar>
        <cfvo type="min"/>
        <cfvo type="max"/>
        <color rgb="FFFF555A"/>
      </dataBar>
    </cfRule>
  </conditionalFormatting>
  <conditionalFormatting sqref="C21:C28">
    <cfRule type="dataBar" priority="3">
      <dataBar>
        <cfvo type="min"/>
        <cfvo type="max"/>
        <color rgb="FFFF555A"/>
      </dataBar>
    </cfRule>
  </conditionalFormatting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/>
  <headerFooter>
    <oddHeader>&amp;L&amp;"Arial Black,Kursiv"&amp;K828282Arbetsversion</oddHeader>
  </headerFooter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B2:AB66"/>
  <sheetViews>
    <sheetView zoomScale="90" zoomScaleNormal="90" zoomScalePageLayoutView="90" workbookViewId="0">
      <pane xSplit="1" ySplit="7" topLeftCell="B8" activePane="bottomRight" state="frozen"/>
      <selection pane="topRight" activeCell="B1" sqref="B1"/>
      <selection pane="bottomLeft" activeCell="A13" sqref="A13"/>
      <selection pane="bottomRight" activeCell="B66" sqref="B66"/>
    </sheetView>
  </sheetViews>
  <sheetFormatPr baseColWidth="10" defaultColWidth="8.83203125" defaultRowHeight="12" customHeight="1" x14ac:dyDescent="0"/>
  <cols>
    <col min="1" max="1" width="5.6640625" style="3" customWidth="1"/>
    <col min="2" max="2" width="8.83203125" style="3"/>
    <col min="3" max="3" width="30.1640625" style="3" customWidth="1"/>
    <col min="4" max="8" width="8.83203125" style="3"/>
    <col min="9" max="10" width="0" style="3" hidden="1" customWidth="1"/>
    <col min="11" max="11" width="8.83203125" style="3"/>
    <col min="12" max="13" width="8.83203125" style="72"/>
    <col min="14" max="14" width="0" style="3" hidden="1" customWidth="1"/>
    <col min="15" max="24" width="8.83203125" style="3"/>
    <col min="25" max="26" width="9.1640625" style="3" hidden="1" customWidth="1"/>
    <col min="27" max="27" width="15.83203125" style="3" customWidth="1"/>
    <col min="28" max="28" width="12.83203125" style="3" customWidth="1"/>
    <col min="29" max="16384" width="8.83203125" style="3"/>
  </cols>
  <sheetData>
    <row r="2" spans="2:28" ht="12" customHeight="1">
      <c r="B2" s="32" t="s">
        <v>2</v>
      </c>
    </row>
    <row r="3" spans="2:28" ht="12" customHeight="1">
      <c r="B3" s="71"/>
    </row>
    <row r="4" spans="2:28" ht="12" customHeight="1">
      <c r="B4" s="4"/>
      <c r="C4" s="4"/>
      <c r="D4" s="4"/>
      <c r="E4" s="302" t="s">
        <v>1</v>
      </c>
      <c r="F4" s="303"/>
      <c r="G4" s="303"/>
      <c r="H4" s="303"/>
      <c r="I4" s="303"/>
      <c r="J4" s="303"/>
      <c r="K4" s="303"/>
      <c r="L4" s="303"/>
      <c r="M4" s="304"/>
      <c r="N4" s="4"/>
      <c r="O4" s="296" t="s">
        <v>2</v>
      </c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7"/>
      <c r="AA4" s="4"/>
      <c r="AB4" s="4"/>
    </row>
    <row r="5" spans="2:28" ht="12" customHeight="1">
      <c r="B5" s="5"/>
      <c r="C5" s="6"/>
      <c r="D5" s="5"/>
      <c r="E5" s="47" t="s">
        <v>3</v>
      </c>
      <c r="F5" s="7" t="s">
        <v>102</v>
      </c>
      <c r="G5" s="7" t="s">
        <v>4</v>
      </c>
      <c r="H5" s="7" t="s">
        <v>5</v>
      </c>
      <c r="I5" s="8" t="s">
        <v>6</v>
      </c>
      <c r="J5" s="8" t="s">
        <v>7</v>
      </c>
      <c r="K5" s="7" t="s">
        <v>8</v>
      </c>
      <c r="L5" s="73" t="s">
        <v>104</v>
      </c>
      <c r="M5" s="85" t="s">
        <v>66</v>
      </c>
      <c r="N5" s="8"/>
      <c r="O5" s="7" t="s">
        <v>3</v>
      </c>
      <c r="P5" s="7" t="s">
        <v>68</v>
      </c>
      <c r="Q5" s="7" t="s">
        <v>102</v>
      </c>
      <c r="R5" s="7" t="s">
        <v>4</v>
      </c>
      <c r="S5" s="7" t="s">
        <v>71</v>
      </c>
      <c r="T5" s="7" t="s">
        <v>5</v>
      </c>
      <c r="U5" s="8" t="s">
        <v>73</v>
      </c>
      <c r="V5" s="7" t="s">
        <v>8</v>
      </c>
      <c r="W5" s="7" t="s">
        <v>104</v>
      </c>
      <c r="X5" s="54" t="s">
        <v>66</v>
      </c>
      <c r="Y5" s="8" t="s">
        <v>6</v>
      </c>
      <c r="Z5" s="8" t="s">
        <v>7</v>
      </c>
      <c r="AA5" s="7" t="s">
        <v>9</v>
      </c>
      <c r="AB5" s="9" t="s">
        <v>10</v>
      </c>
    </row>
    <row r="6" spans="2:28" ht="12" customHeight="1">
      <c r="B6" s="5"/>
      <c r="C6" s="6"/>
      <c r="D6" s="10" t="s">
        <v>11</v>
      </c>
      <c r="E6" s="48" t="s">
        <v>12</v>
      </c>
      <c r="F6" s="11" t="s">
        <v>106</v>
      </c>
      <c r="G6" s="12" t="s">
        <v>13</v>
      </c>
      <c r="H6" s="11" t="s">
        <v>14</v>
      </c>
      <c r="I6" s="11" t="s">
        <v>15</v>
      </c>
      <c r="J6" s="11" t="s">
        <v>16</v>
      </c>
      <c r="K6" s="11" t="s">
        <v>17</v>
      </c>
      <c r="L6" s="77" t="s">
        <v>105</v>
      </c>
      <c r="M6" s="74" t="s">
        <v>66</v>
      </c>
      <c r="N6" s="11" t="s">
        <v>18</v>
      </c>
      <c r="O6" s="11" t="s">
        <v>12</v>
      </c>
      <c r="P6" s="11"/>
      <c r="Q6" s="11" t="s">
        <v>103</v>
      </c>
      <c r="R6" s="12" t="s">
        <v>13</v>
      </c>
      <c r="S6" s="12"/>
      <c r="T6" s="11" t="s">
        <v>14</v>
      </c>
      <c r="U6" s="11"/>
      <c r="V6" s="11" t="s">
        <v>17</v>
      </c>
      <c r="W6" s="11" t="s">
        <v>105</v>
      </c>
      <c r="X6" s="55" t="s">
        <v>66</v>
      </c>
      <c r="Y6" s="11" t="s">
        <v>15</v>
      </c>
      <c r="Z6" s="11" t="s">
        <v>15</v>
      </c>
      <c r="AA6" s="5"/>
      <c r="AB6" s="5"/>
    </row>
    <row r="7" spans="2:28" ht="12" customHeight="1">
      <c r="B7" s="13"/>
      <c r="C7" s="14"/>
      <c r="D7" s="15" t="s">
        <v>19</v>
      </c>
      <c r="E7" s="49" t="s">
        <v>20</v>
      </c>
      <c r="F7" s="15" t="s">
        <v>20</v>
      </c>
      <c r="G7" s="15" t="s">
        <v>107</v>
      </c>
      <c r="H7" s="15" t="s">
        <v>107</v>
      </c>
      <c r="I7" s="15" t="s">
        <v>20</v>
      </c>
      <c r="J7" s="15" t="s">
        <v>20</v>
      </c>
      <c r="K7" s="15" t="s">
        <v>20</v>
      </c>
      <c r="L7" s="78" t="s">
        <v>20</v>
      </c>
      <c r="M7" s="15" t="s">
        <v>107</v>
      </c>
      <c r="N7" s="16" t="s">
        <v>21</v>
      </c>
      <c r="O7" s="91" t="s">
        <v>22</v>
      </c>
      <c r="P7" s="16" t="s">
        <v>22</v>
      </c>
      <c r="Q7" s="16" t="s">
        <v>22</v>
      </c>
      <c r="R7" s="16" t="s">
        <v>23</v>
      </c>
      <c r="S7" s="16" t="s">
        <v>22</v>
      </c>
      <c r="T7" s="16" t="s">
        <v>23</v>
      </c>
      <c r="U7" s="16" t="s">
        <v>22</v>
      </c>
      <c r="V7" s="16" t="s">
        <v>22</v>
      </c>
      <c r="W7" s="16" t="s">
        <v>22</v>
      </c>
      <c r="X7" s="57" t="s">
        <v>23</v>
      </c>
      <c r="Y7" s="16" t="s">
        <v>22</v>
      </c>
      <c r="Z7" s="16" t="s">
        <v>23</v>
      </c>
      <c r="AA7" s="17"/>
      <c r="AB7" s="17"/>
    </row>
    <row r="8" spans="2:28" ht="12" customHeight="1">
      <c r="B8" s="300" t="s">
        <v>24</v>
      </c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</row>
    <row r="9" spans="2:28" ht="12" customHeight="1">
      <c r="B9" s="19"/>
      <c r="C9" s="19" t="s">
        <v>25</v>
      </c>
      <c r="D9" s="21">
        <v>0.31</v>
      </c>
      <c r="E9" s="50">
        <v>0.28999999999999998</v>
      </c>
      <c r="F9" s="12">
        <v>3.9</v>
      </c>
      <c r="G9" s="25">
        <v>15</v>
      </c>
      <c r="H9" s="25">
        <v>23</v>
      </c>
      <c r="I9" s="24"/>
      <c r="J9" s="26"/>
      <c r="K9" s="25">
        <v>19</v>
      </c>
      <c r="L9" s="180">
        <v>0</v>
      </c>
      <c r="M9" s="179">
        <v>1.9</v>
      </c>
      <c r="N9" s="178"/>
      <c r="O9" s="59">
        <f>Intro!$B$11*$D9*E9/100</f>
        <v>0.53939999999999999</v>
      </c>
      <c r="P9" s="59">
        <f>O9*Intro!$C$6</f>
        <v>0.24273</v>
      </c>
      <c r="Q9" s="63">
        <f>Intro!$B$11*$D9*F9/100</f>
        <v>7.2539999999999996</v>
      </c>
      <c r="R9" s="68">
        <f>Intro!$B$11*$D9*G9/100</f>
        <v>27.9</v>
      </c>
      <c r="S9" s="68">
        <f>R9*Intro!$C$7</f>
        <v>11.16</v>
      </c>
      <c r="T9" s="68">
        <f>Intro!$B$11*$D9*H9/100</f>
        <v>42.78</v>
      </c>
      <c r="U9" s="68">
        <f>T9*Intro!$C$8</f>
        <v>14.972999999999999</v>
      </c>
      <c r="V9" s="68">
        <f>Intro!$B$11*$D9*K9/100</f>
        <v>35.340000000000003</v>
      </c>
      <c r="W9" s="63">
        <f>Intro!$B$11*$D9*L9/100</f>
        <v>0</v>
      </c>
      <c r="X9" s="87">
        <f>Intro!$B$11*$D9*M9/100</f>
        <v>3.5339999999999998</v>
      </c>
      <c r="Y9" s="59"/>
      <c r="Z9" s="59"/>
    </row>
    <row r="10" spans="2:28" ht="12" customHeight="1">
      <c r="B10" s="19"/>
      <c r="C10" s="19" t="s">
        <v>26</v>
      </c>
      <c r="D10" s="21">
        <v>0.31</v>
      </c>
      <c r="E10" s="50">
        <v>0.28999999999999998</v>
      </c>
      <c r="F10" s="12">
        <v>3.9</v>
      </c>
      <c r="G10" s="25">
        <v>15</v>
      </c>
      <c r="H10" s="25">
        <v>23</v>
      </c>
      <c r="I10" s="24">
        <v>0.8</v>
      </c>
      <c r="J10" s="26">
        <v>7.0000000000000007E-2</v>
      </c>
      <c r="K10" s="25">
        <v>19</v>
      </c>
      <c r="L10" s="79">
        <v>0</v>
      </c>
      <c r="M10" s="74">
        <v>1.9</v>
      </c>
      <c r="N10" s="20">
        <v>0.6</v>
      </c>
      <c r="O10" s="59">
        <f>Intro!$B$11*$D10*E10/100</f>
        <v>0.53939999999999999</v>
      </c>
      <c r="P10" s="59">
        <f>O10*Intro!$C$6</f>
        <v>0.24273</v>
      </c>
      <c r="Q10" s="63">
        <f>Intro!$B$11*$D10*F10/100</f>
        <v>7.2539999999999996</v>
      </c>
      <c r="R10" s="68">
        <f>Intro!$B$11*$D10*G10/100</f>
        <v>27.9</v>
      </c>
      <c r="S10" s="68">
        <f>R10*Intro!$C$7</f>
        <v>11.16</v>
      </c>
      <c r="T10" s="68">
        <f>Intro!$B$11*$D10*H10/100</f>
        <v>42.78</v>
      </c>
      <c r="U10" s="68">
        <f>T10*Intro!$C$8</f>
        <v>14.972999999999999</v>
      </c>
      <c r="V10" s="68">
        <f>Intro!$B$11*$D10*K10/100</f>
        <v>35.340000000000003</v>
      </c>
      <c r="W10" s="63">
        <f>Intro!$B$11*$D10*L10/100</f>
        <v>0</v>
      </c>
      <c r="X10" s="87">
        <f>Intro!$B$11*$D10*M10/100</f>
        <v>3.5339999999999998</v>
      </c>
      <c r="Y10" s="59">
        <v>1.4880000000000002E-3</v>
      </c>
      <c r="Z10" s="59">
        <v>0.13020000000000001</v>
      </c>
      <c r="AA10" s="3" t="s">
        <v>27</v>
      </c>
    </row>
    <row r="11" spans="2:28" ht="12" customHeight="1">
      <c r="B11" s="19"/>
      <c r="C11" s="19" t="s">
        <v>28</v>
      </c>
      <c r="D11" s="21">
        <v>0.4</v>
      </c>
      <c r="E11" s="50">
        <v>4.2000000000000003E-2</v>
      </c>
      <c r="F11" s="23">
        <v>2</v>
      </c>
      <c r="G11" s="25">
        <v>12</v>
      </c>
      <c r="H11" s="25">
        <v>33</v>
      </c>
      <c r="I11" s="23">
        <v>2.2000000000000002</v>
      </c>
      <c r="J11" s="24">
        <v>0.11</v>
      </c>
      <c r="K11" s="23">
        <v>9.6750000000000007</v>
      </c>
      <c r="L11" s="80">
        <v>0.1</v>
      </c>
      <c r="M11" s="74">
        <v>1.7</v>
      </c>
      <c r="N11" s="20">
        <v>0.6</v>
      </c>
      <c r="O11" s="59">
        <f>Intro!$B$11*$D11*E11/100</f>
        <v>0.1008</v>
      </c>
      <c r="P11" s="59">
        <f>O11*Intro!$C$6</f>
        <v>4.5360000000000004E-2</v>
      </c>
      <c r="Q11" s="63">
        <f>Intro!$B$11*$D11*F11/100</f>
        <v>4.8</v>
      </c>
      <c r="R11" s="68">
        <f>Intro!$B$11*$D11*G11/100</f>
        <v>28.8</v>
      </c>
      <c r="S11" s="68">
        <f>R11*Intro!$C$7</f>
        <v>11.520000000000001</v>
      </c>
      <c r="T11" s="68">
        <f>Intro!$B$11*$D11*H11/100</f>
        <v>79.2</v>
      </c>
      <c r="U11" s="68">
        <f>T11*Intro!$C$8</f>
        <v>27.72</v>
      </c>
      <c r="V11" s="68">
        <f>Intro!$B$11*$D11*K11/100</f>
        <v>23.22</v>
      </c>
      <c r="W11" s="63">
        <f>Intro!$B$11*$D11*L11/100</f>
        <v>0.24</v>
      </c>
      <c r="X11" s="87">
        <f>Intro!$B$11*$D11*M11/100</f>
        <v>4.08</v>
      </c>
      <c r="Y11" s="59">
        <v>5.28E-3</v>
      </c>
      <c r="Z11" s="59">
        <v>0.26400000000000001</v>
      </c>
      <c r="AA11" s="3" t="s">
        <v>27</v>
      </c>
    </row>
    <row r="12" spans="2:28" ht="12" customHeight="1">
      <c r="B12" s="19"/>
      <c r="C12" s="19" t="s">
        <v>29</v>
      </c>
      <c r="D12" s="21">
        <v>0.3</v>
      </c>
      <c r="E12" s="50">
        <v>8.1000000000000003E-2</v>
      </c>
      <c r="F12" s="12">
        <v>1.6</v>
      </c>
      <c r="G12" s="25">
        <v>13</v>
      </c>
      <c r="H12" s="25">
        <v>29</v>
      </c>
      <c r="I12" s="23">
        <v>4.0999999999999996</v>
      </c>
      <c r="J12" s="24">
        <v>0.2</v>
      </c>
      <c r="K12" s="25">
        <v>29.338000000000001</v>
      </c>
      <c r="L12" s="80">
        <v>0.15</v>
      </c>
      <c r="M12" s="74">
        <v>0.84</v>
      </c>
      <c r="N12" s="20">
        <v>0.6</v>
      </c>
      <c r="O12" s="59">
        <f>Intro!$B$11*$D12*E12/100</f>
        <v>0.14580000000000001</v>
      </c>
      <c r="P12" s="59">
        <f>O12*Intro!$C$6</f>
        <v>6.5610000000000002E-2</v>
      </c>
      <c r="Q12" s="63">
        <f>Intro!$B$11*$D12*F12/100</f>
        <v>2.88</v>
      </c>
      <c r="R12" s="68">
        <f>Intro!$B$11*$D12*G12/100</f>
        <v>23.4</v>
      </c>
      <c r="S12" s="68">
        <f>R12*Intro!$C$7</f>
        <v>9.36</v>
      </c>
      <c r="T12" s="68">
        <f>Intro!$B$11*$D12*H12/100</f>
        <v>52.2</v>
      </c>
      <c r="U12" s="68">
        <f>T12*Intro!$C$8</f>
        <v>18.27</v>
      </c>
      <c r="V12" s="68">
        <f>Intro!$B$11*$D12*K12/100</f>
        <v>52.808399999999999</v>
      </c>
      <c r="W12" s="63">
        <f>Intro!$B$11*$D12*L12/100</f>
        <v>0.27</v>
      </c>
      <c r="X12" s="87">
        <f>Intro!$B$11*$D12*M12/100</f>
        <v>1.5119999999999998</v>
      </c>
      <c r="Y12" s="59">
        <v>7.3799999999999985E-3</v>
      </c>
      <c r="Z12" s="59">
        <v>0.36</v>
      </c>
      <c r="AA12" s="3" t="s">
        <v>27</v>
      </c>
    </row>
    <row r="13" spans="2:28" ht="12" customHeight="1">
      <c r="B13" s="19"/>
      <c r="C13" s="19" t="s">
        <v>30</v>
      </c>
      <c r="D13" s="21"/>
      <c r="E13" s="50"/>
      <c r="F13" s="12"/>
      <c r="G13" s="25"/>
      <c r="H13" s="25"/>
      <c r="I13" s="23"/>
      <c r="J13" s="24"/>
      <c r="K13" s="25"/>
      <c r="L13" s="80"/>
      <c r="M13" s="74"/>
      <c r="N13" s="20"/>
      <c r="O13" s="59"/>
      <c r="P13" s="59"/>
      <c r="Q13" s="63"/>
      <c r="R13" s="59"/>
      <c r="S13" s="59"/>
      <c r="T13" s="59"/>
      <c r="U13" s="59"/>
      <c r="V13" s="59"/>
      <c r="W13" s="59"/>
      <c r="X13" s="60"/>
      <c r="Y13" s="59"/>
      <c r="Z13" s="59"/>
    </row>
    <row r="14" spans="2:28" ht="12" customHeight="1">
      <c r="B14" s="19"/>
      <c r="C14" s="19" t="s">
        <v>31</v>
      </c>
      <c r="D14" s="21"/>
      <c r="E14" s="50"/>
      <c r="F14" s="12"/>
      <c r="G14" s="25"/>
      <c r="H14" s="25"/>
      <c r="I14" s="23"/>
      <c r="J14" s="24"/>
      <c r="K14" s="25"/>
      <c r="L14" s="80"/>
      <c r="M14" s="74"/>
      <c r="N14" s="20"/>
      <c r="O14" s="59"/>
      <c r="P14" s="59"/>
      <c r="Q14" s="63"/>
      <c r="R14" s="59"/>
      <c r="S14" s="59"/>
      <c r="T14" s="59"/>
      <c r="U14" s="59"/>
      <c r="V14" s="59"/>
      <c r="W14" s="59"/>
      <c r="X14" s="60"/>
      <c r="Y14" s="59"/>
      <c r="Z14" s="59"/>
    </row>
    <row r="15" spans="2:28" ht="12" customHeight="1">
      <c r="B15" s="19"/>
      <c r="C15" s="19" t="s">
        <v>32</v>
      </c>
      <c r="D15" s="21"/>
      <c r="E15" s="50"/>
      <c r="F15" s="12"/>
      <c r="G15" s="25"/>
      <c r="H15" s="25"/>
      <c r="I15" s="23"/>
      <c r="J15" s="24"/>
      <c r="K15" s="25"/>
      <c r="L15" s="80"/>
      <c r="M15" s="74"/>
      <c r="N15" s="20"/>
      <c r="O15" s="59"/>
      <c r="P15" s="59"/>
      <c r="Q15" s="63"/>
      <c r="R15" s="59"/>
      <c r="S15" s="59"/>
      <c r="T15" s="59"/>
      <c r="U15" s="59"/>
      <c r="V15" s="59"/>
      <c r="W15" s="59"/>
      <c r="X15" s="60"/>
      <c r="Y15" s="59"/>
      <c r="Z15" s="59"/>
    </row>
    <row r="16" spans="2:28" ht="12" customHeight="1">
      <c r="B16" s="19"/>
      <c r="C16" s="19" t="s">
        <v>33</v>
      </c>
      <c r="D16" s="21"/>
      <c r="E16" s="50"/>
      <c r="F16" s="12"/>
      <c r="G16" s="25"/>
      <c r="H16" s="25"/>
      <c r="I16" s="23"/>
      <c r="J16" s="24"/>
      <c r="K16" s="25"/>
      <c r="L16" s="80"/>
      <c r="M16" s="74"/>
      <c r="N16" s="20"/>
      <c r="O16" s="59"/>
      <c r="P16" s="59"/>
      <c r="Q16" s="63"/>
      <c r="R16" s="59"/>
      <c r="S16" s="59"/>
      <c r="T16" s="59"/>
      <c r="U16" s="59"/>
      <c r="V16" s="59"/>
      <c r="W16" s="59"/>
      <c r="X16" s="60"/>
      <c r="Y16" s="59"/>
      <c r="Z16" s="59"/>
    </row>
    <row r="17" spans="2:28" ht="12" customHeight="1">
      <c r="B17" s="22"/>
      <c r="C17" s="298" t="s">
        <v>34</v>
      </c>
      <c r="D17" s="12">
        <v>0.18</v>
      </c>
      <c r="E17" s="50">
        <v>0.12</v>
      </c>
      <c r="F17" s="12">
        <v>1.2</v>
      </c>
      <c r="G17" s="12">
        <v>15</v>
      </c>
      <c r="H17" s="12">
        <v>25</v>
      </c>
      <c r="I17" s="23">
        <v>6</v>
      </c>
      <c r="J17" s="24">
        <v>0.3</v>
      </c>
      <c r="K17" s="12">
        <v>49</v>
      </c>
      <c r="L17" s="80">
        <v>0.2</v>
      </c>
      <c r="M17" s="74">
        <v>0</v>
      </c>
      <c r="N17" s="20">
        <v>0.6</v>
      </c>
      <c r="O17" s="59">
        <f>Intro!$B$11*$D17*E17/100</f>
        <v>0.12959999999999999</v>
      </c>
      <c r="P17" s="59">
        <f>O17*Intro!$C$6</f>
        <v>5.8319999999999997E-2</v>
      </c>
      <c r="Q17" s="63">
        <f>Intro!$B$11*$D17*F17/100</f>
        <v>1.296</v>
      </c>
      <c r="R17" s="68">
        <f>Intro!$B$11*$D17*G17/100</f>
        <v>16.2</v>
      </c>
      <c r="S17" s="68">
        <f>R17*Intro!$C$7</f>
        <v>6.48</v>
      </c>
      <c r="T17" s="68">
        <f>Intro!$B$11*$D17*H17/100</f>
        <v>27</v>
      </c>
      <c r="U17" s="68">
        <f>T17*Intro!$C$8</f>
        <v>9.4499999999999993</v>
      </c>
      <c r="V17" s="68">
        <f>Intro!$B$11*$D17*K17/100</f>
        <v>52.92</v>
      </c>
      <c r="W17" s="63">
        <f>Intro!$B$11*$D17*L17/100</f>
        <v>0.21600000000000003</v>
      </c>
      <c r="X17" s="87">
        <f>Intro!$B$11*$D17*M17/100</f>
        <v>0</v>
      </c>
      <c r="Y17" s="59">
        <v>6.4800000000000005E-3</v>
      </c>
      <c r="Z17" s="59">
        <v>0.32399999999999995</v>
      </c>
      <c r="AA17" s="3" t="s">
        <v>27</v>
      </c>
    </row>
    <row r="18" spans="2:28" ht="12" customHeight="1">
      <c r="B18" s="5" t="s">
        <v>35</v>
      </c>
      <c r="C18" s="298"/>
      <c r="D18" s="24">
        <v>0.3</v>
      </c>
      <c r="E18" s="50">
        <v>0.31</v>
      </c>
      <c r="F18" s="12"/>
      <c r="G18" s="12">
        <v>50</v>
      </c>
      <c r="H18" s="12">
        <v>40</v>
      </c>
      <c r="I18" s="25">
        <v>50</v>
      </c>
      <c r="J18" s="24">
        <v>0.8</v>
      </c>
      <c r="K18" s="12">
        <v>150</v>
      </c>
      <c r="L18" s="80"/>
      <c r="M18" s="74"/>
      <c r="N18" s="20">
        <v>0.6</v>
      </c>
      <c r="O18" s="59">
        <f>Intro!$B$11*$D18*E18/100</f>
        <v>0.55799999999999994</v>
      </c>
      <c r="P18" s="59">
        <f>O18*Intro!$C$6</f>
        <v>0.25109999999999999</v>
      </c>
      <c r="Q18" s="63"/>
      <c r="R18" s="68">
        <f>Intro!$B$11*$D18*G18/100</f>
        <v>90</v>
      </c>
      <c r="S18" s="68">
        <f>R18*Intro!$C$7</f>
        <v>36</v>
      </c>
      <c r="T18" s="68">
        <f>Intro!$B$11*$D18*H18/100</f>
        <v>72</v>
      </c>
      <c r="U18" s="68">
        <f>T18*Intro!$C$8</f>
        <v>25.2</v>
      </c>
      <c r="V18" s="68">
        <f>Intro!$B$11*$D18*K18/100</f>
        <v>270</v>
      </c>
      <c r="W18" s="59"/>
      <c r="X18" s="60"/>
      <c r="Y18" s="59">
        <v>0.09</v>
      </c>
      <c r="Z18" s="59">
        <v>1.44</v>
      </c>
      <c r="AA18" s="3" t="s">
        <v>27</v>
      </c>
    </row>
    <row r="19" spans="2:28" ht="12" customHeight="1">
      <c r="B19" s="5" t="s">
        <v>36</v>
      </c>
      <c r="C19" s="298"/>
      <c r="D19" s="21">
        <v>0.05</v>
      </c>
      <c r="E19" s="51">
        <v>0.09</v>
      </c>
      <c r="F19" s="26"/>
      <c r="G19" s="23">
        <v>5</v>
      </c>
      <c r="H19" s="12">
        <v>10</v>
      </c>
      <c r="I19" s="23">
        <v>1</v>
      </c>
      <c r="J19" s="24">
        <v>0.1</v>
      </c>
      <c r="K19" s="12">
        <v>10</v>
      </c>
      <c r="L19" s="80"/>
      <c r="M19" s="74"/>
      <c r="N19" s="20">
        <v>0.6</v>
      </c>
      <c r="O19" s="59">
        <f>Intro!$B$11*$D19*E19/100</f>
        <v>2.6999999999999996E-2</v>
      </c>
      <c r="P19" s="59">
        <f>O19*Intro!$C$6</f>
        <v>1.2149999999999999E-2</v>
      </c>
      <c r="Q19" s="63"/>
      <c r="R19" s="68">
        <f>Intro!$B$11*$D19*G19/100</f>
        <v>1.5</v>
      </c>
      <c r="S19" s="68">
        <f>R19*Intro!$C$7</f>
        <v>0.60000000000000009</v>
      </c>
      <c r="T19" s="68">
        <f>Intro!$B$11*$D19*H19/100</f>
        <v>3</v>
      </c>
      <c r="U19" s="68">
        <f>T19*Intro!$C$8</f>
        <v>1.0499999999999998</v>
      </c>
      <c r="V19" s="68">
        <f>Intro!$B$11*$D19*K19/100</f>
        <v>3</v>
      </c>
      <c r="W19" s="59"/>
      <c r="X19" s="60"/>
      <c r="Y19" s="59">
        <v>2.9999999999999997E-4</v>
      </c>
      <c r="Z19" s="59">
        <v>0.03</v>
      </c>
      <c r="AA19" s="3" t="s">
        <v>27</v>
      </c>
    </row>
    <row r="20" spans="2:28" ht="12" customHeight="1">
      <c r="B20" s="5" t="s">
        <v>37</v>
      </c>
      <c r="C20" s="298"/>
      <c r="D20" s="19"/>
      <c r="E20" s="51">
        <v>3.4809989433607837E-2</v>
      </c>
      <c r="F20" s="26"/>
      <c r="G20" s="23">
        <v>4.1384365094007345</v>
      </c>
      <c r="H20" s="23">
        <v>8.3702178689431914</v>
      </c>
      <c r="I20" s="24">
        <v>0.72252922529896191</v>
      </c>
      <c r="J20" s="26">
        <v>2.7233186617820065E-2</v>
      </c>
      <c r="K20" s="25">
        <v>12.203413950992065</v>
      </c>
      <c r="L20" s="79"/>
      <c r="M20" s="74"/>
      <c r="N20" s="20">
        <v>0.6</v>
      </c>
      <c r="O20" s="5"/>
      <c r="P20" s="5"/>
      <c r="Q20" s="63"/>
      <c r="R20" s="5"/>
      <c r="S20" s="5"/>
      <c r="T20" s="5"/>
      <c r="U20" s="5"/>
      <c r="V20" s="5"/>
      <c r="W20" s="5"/>
      <c r="X20" s="61"/>
      <c r="Y20" s="5"/>
      <c r="Z20" s="59"/>
      <c r="AA20" s="3" t="s">
        <v>27</v>
      </c>
    </row>
    <row r="21" spans="2:28" ht="12" customHeight="1">
      <c r="B21" s="27"/>
      <c r="C21" s="27"/>
      <c r="D21" s="28"/>
      <c r="E21" s="49"/>
      <c r="F21" s="15"/>
      <c r="G21" s="30"/>
      <c r="H21" s="30"/>
      <c r="I21" s="31"/>
      <c r="J21" s="28"/>
      <c r="K21" s="30"/>
      <c r="L21" s="81"/>
      <c r="M21" s="75"/>
      <c r="N21" s="16"/>
      <c r="O21" s="18"/>
      <c r="P21" s="18"/>
      <c r="Q21" s="18"/>
      <c r="R21" s="18"/>
      <c r="S21" s="18"/>
      <c r="T21" s="18"/>
      <c r="U21" s="18"/>
      <c r="V21" s="18"/>
      <c r="W21" s="18"/>
      <c r="X21" s="58"/>
      <c r="Y21" s="18"/>
      <c r="Z21" s="18"/>
      <c r="AA21" s="17"/>
      <c r="AB21" s="17"/>
    </row>
    <row r="22" spans="2:28" ht="12" customHeight="1">
      <c r="B22" s="301" t="s">
        <v>38</v>
      </c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</row>
    <row r="23" spans="2:28" ht="12" customHeight="1">
      <c r="B23" s="19"/>
      <c r="C23" s="305" t="s">
        <v>39</v>
      </c>
      <c r="D23" s="21">
        <v>0.9</v>
      </c>
      <c r="E23" s="50">
        <v>0.09</v>
      </c>
      <c r="F23" s="12">
        <v>1.8</v>
      </c>
      <c r="G23" s="25">
        <v>7.5</v>
      </c>
      <c r="H23" s="12">
        <v>28</v>
      </c>
      <c r="I23" s="23">
        <v>2</v>
      </c>
      <c r="J23" s="24">
        <v>0.8</v>
      </c>
      <c r="K23" s="69">
        <v>25</v>
      </c>
      <c r="L23" s="80">
        <v>0</v>
      </c>
      <c r="M23" s="76">
        <v>0.44</v>
      </c>
      <c r="N23" s="20">
        <v>0.6</v>
      </c>
      <c r="O23" s="59">
        <f>Intro!$B$11*$D23*E23/100</f>
        <v>0.48599999999999999</v>
      </c>
      <c r="P23" s="59">
        <f>O23*Intro!$C$6</f>
        <v>0.21870000000000001</v>
      </c>
      <c r="Q23" s="63">
        <f>Intro!$B$11*$D23*F23/100</f>
        <v>9.7200000000000006</v>
      </c>
      <c r="R23" s="68">
        <f>Intro!$B$11*$D23*G23/100</f>
        <v>40.5</v>
      </c>
      <c r="S23" s="68">
        <f>R23*Intro!$C$7</f>
        <v>16.2</v>
      </c>
      <c r="T23" s="68">
        <f>Intro!$B$11*$D23*H23/100</f>
        <v>151.19999999999999</v>
      </c>
      <c r="U23" s="68">
        <f>T23*Intro!$C$8</f>
        <v>52.919999999999995</v>
      </c>
      <c r="V23" s="68">
        <f>Intro!$B$11*$D23*K23/100</f>
        <v>135</v>
      </c>
      <c r="W23" s="86">
        <f>Intro!$B$11*$D23*L23/100</f>
        <v>0</v>
      </c>
      <c r="X23" s="88">
        <f>Intro!$B$11*$D23*M23/100</f>
        <v>2.3759999999999999</v>
      </c>
      <c r="Y23" s="59">
        <v>1.0800000000000001E-2</v>
      </c>
      <c r="Z23" s="59">
        <v>4.32</v>
      </c>
      <c r="AA23" s="3" t="s">
        <v>27</v>
      </c>
    </row>
    <row r="24" spans="2:28" ht="12" customHeight="1">
      <c r="B24" s="19" t="s">
        <v>35</v>
      </c>
      <c r="C24" s="298"/>
      <c r="D24" s="12"/>
      <c r="E24" s="50">
        <v>0.5</v>
      </c>
      <c r="F24" s="12"/>
      <c r="G24" s="12">
        <v>3400</v>
      </c>
      <c r="H24" s="12">
        <v>4900</v>
      </c>
      <c r="I24" s="12">
        <v>490</v>
      </c>
      <c r="J24" s="12">
        <v>1</v>
      </c>
      <c r="K24" s="68">
        <v>304</v>
      </c>
      <c r="L24" s="82"/>
      <c r="M24" s="74"/>
      <c r="N24" s="20"/>
      <c r="O24" s="62"/>
      <c r="P24" s="62"/>
      <c r="Q24" s="62"/>
      <c r="R24" s="59"/>
      <c r="S24" s="59"/>
      <c r="T24" s="59"/>
      <c r="U24" s="59"/>
      <c r="V24" s="68"/>
      <c r="W24" s="68"/>
      <c r="X24" s="56"/>
      <c r="Y24" s="59"/>
      <c r="Z24" s="59"/>
      <c r="AA24" s="278" t="s">
        <v>40</v>
      </c>
    </row>
    <row r="25" spans="2:28" ht="12" customHeight="1">
      <c r="B25" s="19" t="s">
        <v>36</v>
      </c>
      <c r="C25" s="298"/>
      <c r="D25" s="12"/>
      <c r="E25" s="50">
        <v>0.06</v>
      </c>
      <c r="F25" s="12"/>
      <c r="G25" s="12">
        <v>6</v>
      </c>
      <c r="H25" s="12">
        <v>24</v>
      </c>
      <c r="I25" s="12">
        <v>2</v>
      </c>
      <c r="J25" s="12">
        <v>0.2</v>
      </c>
      <c r="K25" s="68">
        <v>3</v>
      </c>
      <c r="L25" s="82"/>
      <c r="M25" s="74"/>
      <c r="N25" s="20"/>
      <c r="O25" s="62"/>
      <c r="P25" s="62"/>
      <c r="Q25" s="62"/>
      <c r="R25" s="59"/>
      <c r="S25" s="59"/>
      <c r="T25" s="59"/>
      <c r="U25" s="59"/>
      <c r="V25" s="68"/>
      <c r="W25" s="68"/>
      <c r="X25" s="56"/>
      <c r="Y25" s="59"/>
      <c r="Z25" s="59"/>
      <c r="AA25" s="278" t="s">
        <v>41</v>
      </c>
    </row>
    <row r="26" spans="2:28" ht="12" customHeight="1">
      <c r="B26" s="5" t="s">
        <v>37</v>
      </c>
      <c r="C26" s="298"/>
      <c r="D26" s="29"/>
      <c r="E26" s="51">
        <v>2.0500000000000001E-2</v>
      </c>
      <c r="F26" s="26"/>
      <c r="G26" s="23">
        <v>5</v>
      </c>
      <c r="H26" s="25">
        <v>10</v>
      </c>
      <c r="I26" s="24">
        <v>0.5</v>
      </c>
      <c r="J26" s="26">
        <v>2.5000000000000001E-2</v>
      </c>
      <c r="K26" s="23">
        <v>1.2</v>
      </c>
      <c r="L26" s="79"/>
      <c r="M26" s="74"/>
      <c r="N26" s="20">
        <v>0.6</v>
      </c>
      <c r="O26" s="5"/>
      <c r="P26" s="5"/>
      <c r="Q26" s="5"/>
      <c r="R26" s="5"/>
      <c r="S26" s="5"/>
      <c r="T26" s="5"/>
      <c r="U26" s="5"/>
      <c r="V26" s="5"/>
      <c r="W26" s="5"/>
      <c r="X26" s="61"/>
      <c r="Y26" s="5"/>
      <c r="Z26" s="5"/>
      <c r="AA26" s="3" t="s">
        <v>27</v>
      </c>
    </row>
    <row r="27" spans="2:28" ht="12" customHeight="1">
      <c r="B27" s="5" t="s">
        <v>37</v>
      </c>
      <c r="C27" s="19" t="s">
        <v>26</v>
      </c>
      <c r="D27" s="29"/>
      <c r="E27" s="51">
        <v>2.0500000000000001E-2</v>
      </c>
      <c r="F27" s="26"/>
      <c r="G27" s="23">
        <v>5</v>
      </c>
      <c r="H27" s="25">
        <v>10</v>
      </c>
      <c r="I27" s="24">
        <v>0.5</v>
      </c>
      <c r="J27" s="26">
        <v>2.5000000000000001E-2</v>
      </c>
      <c r="K27" s="23">
        <v>1.2</v>
      </c>
      <c r="L27" s="79"/>
      <c r="M27" s="74"/>
      <c r="N27" s="20">
        <v>0.6</v>
      </c>
      <c r="O27" s="5"/>
      <c r="P27" s="5"/>
      <c r="Q27" s="5"/>
      <c r="R27" s="5"/>
      <c r="S27" s="5"/>
      <c r="T27" s="5"/>
      <c r="U27" s="5"/>
      <c r="V27" s="5"/>
      <c r="W27" s="5"/>
      <c r="X27" s="61"/>
      <c r="Y27" s="5"/>
      <c r="Z27" s="5"/>
      <c r="AA27" s="3" t="s">
        <v>27</v>
      </c>
    </row>
    <row r="28" spans="2:28" ht="12" customHeight="1">
      <c r="B28" s="5"/>
      <c r="C28" s="19" t="s">
        <v>42</v>
      </c>
      <c r="D28" s="29"/>
      <c r="E28" s="51"/>
      <c r="F28" s="26"/>
      <c r="G28" s="23"/>
      <c r="H28" s="25"/>
      <c r="I28" s="24"/>
      <c r="J28" s="26"/>
      <c r="K28" s="23"/>
      <c r="L28" s="79"/>
      <c r="M28" s="74"/>
      <c r="N28" s="20"/>
      <c r="O28" s="5"/>
      <c r="P28" s="5"/>
      <c r="Q28" s="5"/>
      <c r="R28" s="5"/>
      <c r="S28" s="5"/>
      <c r="T28" s="5"/>
      <c r="U28" s="5"/>
      <c r="V28" s="5"/>
      <c r="W28" s="5"/>
      <c r="X28" s="61"/>
      <c r="Y28" s="5"/>
      <c r="Z28" s="5"/>
    </row>
    <row r="29" spans="2:28" ht="12" customHeight="1">
      <c r="B29" s="5"/>
      <c r="C29" s="19" t="s">
        <v>43</v>
      </c>
      <c r="D29" s="29"/>
      <c r="E29" s="51"/>
      <c r="F29" s="26"/>
      <c r="G29" s="23"/>
      <c r="H29" s="25"/>
      <c r="I29" s="24"/>
      <c r="J29" s="26"/>
      <c r="K29" s="23"/>
      <c r="L29" s="79"/>
      <c r="M29" s="74"/>
      <c r="N29" s="20"/>
      <c r="O29" s="5"/>
      <c r="P29" s="5"/>
      <c r="Q29" s="5"/>
      <c r="R29" s="5"/>
      <c r="S29" s="5"/>
      <c r="T29" s="5"/>
      <c r="U29" s="5"/>
      <c r="V29" s="5"/>
      <c r="W29" s="5"/>
      <c r="X29" s="61"/>
      <c r="Y29" s="5"/>
      <c r="Z29" s="5"/>
    </row>
    <row r="30" spans="2:28" ht="12" customHeight="1">
      <c r="B30" s="19"/>
      <c r="C30" s="298" t="s">
        <v>44</v>
      </c>
      <c r="D30" s="21">
        <v>0.9</v>
      </c>
      <c r="E30" s="50">
        <v>0.22</v>
      </c>
      <c r="F30" s="12"/>
      <c r="G30" s="25">
        <v>153</v>
      </c>
      <c r="H30" s="25">
        <v>370</v>
      </c>
      <c r="I30" s="25">
        <v>69</v>
      </c>
      <c r="J30" s="24">
        <v>0.8</v>
      </c>
      <c r="K30" s="25">
        <v>43</v>
      </c>
      <c r="L30" s="80"/>
      <c r="M30" s="74"/>
      <c r="N30" s="20">
        <v>0.6</v>
      </c>
      <c r="O30" s="59">
        <f>Intro!$B$11*D30*E30/100</f>
        <v>1.1879999999999999</v>
      </c>
      <c r="P30" s="59">
        <f>O30*Intro!$C$6</f>
        <v>0.53459999999999996</v>
      </c>
      <c r="Q30" s="59"/>
      <c r="R30" s="68">
        <f>Intro!$B$11*$D30*G30/100</f>
        <v>826.2</v>
      </c>
      <c r="S30" s="68">
        <f>R30*Intro!$C$7</f>
        <v>330.48</v>
      </c>
      <c r="T30" s="68">
        <f>Intro!$B$11*$D30*H30/100</f>
        <v>1998</v>
      </c>
      <c r="U30" s="68">
        <f>T30*Intro!$C$8</f>
        <v>699.3</v>
      </c>
      <c r="V30" s="68">
        <f>Intro!$B$11*$D30*K30/100</f>
        <v>232.2</v>
      </c>
      <c r="W30" s="59"/>
      <c r="X30" s="60"/>
      <c r="Y30" s="59">
        <v>0.37260000000000004</v>
      </c>
      <c r="Z30" s="59">
        <v>4.32</v>
      </c>
      <c r="AA30" s="3" t="s">
        <v>27</v>
      </c>
    </row>
    <row r="31" spans="2:28" ht="12" customHeight="1">
      <c r="B31" s="34" t="s">
        <v>37</v>
      </c>
      <c r="C31" s="306"/>
      <c r="D31" s="29"/>
      <c r="E31" s="51">
        <v>2.0500000000000001E-2</v>
      </c>
      <c r="F31" s="26"/>
      <c r="G31" s="23">
        <v>5</v>
      </c>
      <c r="H31" s="25">
        <v>10</v>
      </c>
      <c r="I31" s="24">
        <v>0.5</v>
      </c>
      <c r="J31" s="26">
        <v>2.5000000000000001E-2</v>
      </c>
      <c r="K31" s="23">
        <v>1.2</v>
      </c>
      <c r="L31" s="79"/>
      <c r="M31" s="74"/>
      <c r="N31" s="20">
        <v>0.6</v>
      </c>
      <c r="O31" s="5"/>
      <c r="P31" s="5"/>
      <c r="Q31" s="5"/>
      <c r="R31" s="5"/>
      <c r="S31" s="5"/>
      <c r="T31" s="5"/>
      <c r="U31" s="59"/>
      <c r="V31" s="5"/>
      <c r="W31" s="5"/>
      <c r="X31" s="61"/>
      <c r="Y31" s="5"/>
      <c r="Z31" s="59">
        <v>0</v>
      </c>
      <c r="AA31" s="3" t="s">
        <v>27</v>
      </c>
    </row>
    <row r="32" spans="2:28" ht="12" customHeight="1">
      <c r="B32" s="19"/>
      <c r="C32" s="298" t="s">
        <v>45</v>
      </c>
      <c r="D32" s="21">
        <v>0.9</v>
      </c>
      <c r="E32" s="50">
        <v>0.22</v>
      </c>
      <c r="F32" s="12"/>
      <c r="G32" s="25">
        <v>153</v>
      </c>
      <c r="H32" s="25">
        <v>1851</v>
      </c>
      <c r="I32" s="25">
        <v>69</v>
      </c>
      <c r="J32" s="24">
        <v>0.8</v>
      </c>
      <c r="K32" s="25">
        <v>43</v>
      </c>
      <c r="L32" s="80"/>
      <c r="M32" s="74"/>
      <c r="N32" s="20">
        <v>0.6</v>
      </c>
      <c r="O32" s="59">
        <f>Intro!$B$11*D32*E32/100</f>
        <v>1.1879999999999999</v>
      </c>
      <c r="P32" s="59">
        <f>O32*Intro!$C$6</f>
        <v>0.53459999999999996</v>
      </c>
      <c r="Q32" s="59"/>
      <c r="R32" s="68">
        <f>Intro!$B$11*$D32*G32/100</f>
        <v>826.2</v>
      </c>
      <c r="S32" s="68">
        <f>R32*Intro!$C$7</f>
        <v>330.48</v>
      </c>
      <c r="T32" s="68">
        <f>Intro!$B$11*$D32*H32/100</f>
        <v>9995.4</v>
      </c>
      <c r="U32" s="68">
        <f>T32*Intro!$C$8</f>
        <v>3498.39</v>
      </c>
      <c r="V32" s="68">
        <f>Intro!$B$11*$D32*K32/100</f>
        <v>232.2</v>
      </c>
      <c r="W32" s="59"/>
      <c r="X32" s="60"/>
      <c r="Y32" s="59">
        <v>0.37260000000000004</v>
      </c>
      <c r="Z32" s="59">
        <v>4.32</v>
      </c>
      <c r="AA32" s="3" t="s">
        <v>27</v>
      </c>
    </row>
    <row r="33" spans="2:27" ht="12" customHeight="1">
      <c r="B33" s="5" t="s">
        <v>37</v>
      </c>
      <c r="C33" s="298"/>
      <c r="D33" s="29"/>
      <c r="E33" s="51">
        <v>2.0500000000000001E-2</v>
      </c>
      <c r="F33" s="26"/>
      <c r="G33" s="23">
        <v>5</v>
      </c>
      <c r="H33" s="25">
        <v>10</v>
      </c>
      <c r="I33" s="24">
        <v>0.5</v>
      </c>
      <c r="J33" s="26">
        <v>2.5000000000000001E-2</v>
      </c>
      <c r="K33" s="23">
        <v>1.2</v>
      </c>
      <c r="L33" s="79"/>
      <c r="M33" s="74"/>
      <c r="N33" s="20">
        <v>0.6</v>
      </c>
      <c r="O33" s="5"/>
      <c r="P33" s="5"/>
      <c r="Q33" s="5"/>
      <c r="R33" s="5"/>
      <c r="S33" s="5"/>
      <c r="T33" s="5"/>
      <c r="U33" s="59"/>
      <c r="V33" s="5"/>
      <c r="W33" s="5"/>
      <c r="X33" s="61"/>
      <c r="Y33" s="5"/>
      <c r="Z33" s="59">
        <v>0</v>
      </c>
      <c r="AA33" s="3" t="s">
        <v>27</v>
      </c>
    </row>
    <row r="34" spans="2:27" ht="12" customHeight="1">
      <c r="B34" s="19"/>
      <c r="C34" s="298" t="s">
        <v>46</v>
      </c>
      <c r="D34" s="21">
        <v>0.9</v>
      </c>
      <c r="E34" s="50">
        <v>0.22</v>
      </c>
      <c r="F34" s="12"/>
      <c r="G34" s="25">
        <v>2600</v>
      </c>
      <c r="H34" s="25">
        <v>370</v>
      </c>
      <c r="I34" s="25">
        <v>69</v>
      </c>
      <c r="J34" s="24">
        <v>0.8</v>
      </c>
      <c r="K34" s="25">
        <v>43</v>
      </c>
      <c r="L34" s="80"/>
      <c r="M34" s="74"/>
      <c r="N34" s="20">
        <v>0.6</v>
      </c>
      <c r="O34" s="59">
        <f>Intro!$B$11*D34*E34/100</f>
        <v>1.1879999999999999</v>
      </c>
      <c r="P34" s="59">
        <f>O34*Intro!$C$6</f>
        <v>0.53459999999999996</v>
      </c>
      <c r="Q34" s="59"/>
      <c r="R34" s="68">
        <f>Intro!$B$11*$D34*G34/100</f>
        <v>14040</v>
      </c>
      <c r="S34" s="68">
        <f>R34*Intro!$C$7</f>
        <v>5616</v>
      </c>
      <c r="T34" s="68">
        <f>Intro!$B$11*$D34*H34/100</f>
        <v>1998</v>
      </c>
      <c r="U34" s="68">
        <f>T34*Intro!$C$8</f>
        <v>699.3</v>
      </c>
      <c r="V34" s="68">
        <f>Intro!$B$11*$D34*K34/100</f>
        <v>232.2</v>
      </c>
      <c r="W34" s="59"/>
      <c r="X34" s="60"/>
      <c r="Y34" s="59">
        <v>0.37260000000000004</v>
      </c>
      <c r="Z34" s="59">
        <v>4.32</v>
      </c>
      <c r="AA34" s="3" t="s">
        <v>27</v>
      </c>
    </row>
    <row r="35" spans="2:27" ht="12" customHeight="1">
      <c r="B35" s="5" t="s">
        <v>37</v>
      </c>
      <c r="C35" s="298"/>
      <c r="D35" s="29"/>
      <c r="E35" s="51">
        <v>2.0500000000000001E-2</v>
      </c>
      <c r="F35" s="26"/>
      <c r="G35" s="23">
        <v>5</v>
      </c>
      <c r="H35" s="25">
        <v>10</v>
      </c>
      <c r="I35" s="24">
        <v>0.5</v>
      </c>
      <c r="J35" s="26">
        <v>2.5000000000000001E-2</v>
      </c>
      <c r="K35" s="23">
        <v>1.2</v>
      </c>
      <c r="L35" s="79"/>
      <c r="M35" s="74"/>
      <c r="N35" s="20">
        <v>0.6</v>
      </c>
      <c r="O35" s="5"/>
      <c r="P35" s="5"/>
      <c r="Q35" s="5"/>
      <c r="R35" s="5"/>
      <c r="S35" s="5"/>
      <c r="T35" s="5"/>
      <c r="U35" s="59"/>
      <c r="V35" s="5"/>
      <c r="W35" s="5"/>
      <c r="X35" s="61"/>
      <c r="Y35" s="5"/>
      <c r="Z35" s="59">
        <v>0</v>
      </c>
      <c r="AA35" s="3" t="s">
        <v>27</v>
      </c>
    </row>
    <row r="36" spans="2:27" ht="12" customHeight="1">
      <c r="B36" s="19"/>
      <c r="C36" s="298" t="s">
        <v>47</v>
      </c>
      <c r="D36" s="21">
        <v>0.9</v>
      </c>
      <c r="E36" s="50">
        <v>0.22</v>
      </c>
      <c r="F36" s="12"/>
      <c r="G36" s="25">
        <v>153</v>
      </c>
      <c r="H36" s="25">
        <v>370</v>
      </c>
      <c r="I36" s="25">
        <v>69</v>
      </c>
      <c r="J36" s="24">
        <v>0.8</v>
      </c>
      <c r="K36" s="25">
        <v>43</v>
      </c>
      <c r="L36" s="80"/>
      <c r="M36" s="74"/>
      <c r="N36" s="20">
        <v>0.6</v>
      </c>
      <c r="O36" s="59">
        <f>Intro!$B$11*D36*E36/100</f>
        <v>1.1879999999999999</v>
      </c>
      <c r="P36" s="59">
        <f>O36*Intro!$C$6</f>
        <v>0.53459999999999996</v>
      </c>
      <c r="Q36" s="59"/>
      <c r="R36" s="68">
        <f>Intro!$B$11*$D36*G36/100</f>
        <v>826.2</v>
      </c>
      <c r="S36" s="68">
        <f>R36*Intro!$C$7</f>
        <v>330.48</v>
      </c>
      <c r="T36" s="68">
        <f>Intro!$B$11*$D36*H36/100</f>
        <v>1998</v>
      </c>
      <c r="U36" s="68">
        <f>T36*Intro!$C$8</f>
        <v>699.3</v>
      </c>
      <c r="V36" s="68">
        <f>Intro!$B$11*$D36*K36/100</f>
        <v>232.2</v>
      </c>
      <c r="W36" s="59"/>
      <c r="X36" s="60"/>
      <c r="Y36" s="59">
        <v>0.37260000000000004</v>
      </c>
      <c r="Z36" s="59">
        <v>4.32</v>
      </c>
      <c r="AA36" s="3" t="s">
        <v>27</v>
      </c>
    </row>
    <row r="37" spans="2:27" ht="12" customHeight="1">
      <c r="B37" s="5" t="s">
        <v>37</v>
      </c>
      <c r="C37" s="298"/>
      <c r="D37" s="29"/>
      <c r="E37" s="51">
        <v>2.0500000000000001E-2</v>
      </c>
      <c r="F37" s="26"/>
      <c r="G37" s="23">
        <v>5</v>
      </c>
      <c r="H37" s="25">
        <v>10</v>
      </c>
      <c r="I37" s="24">
        <v>0.5</v>
      </c>
      <c r="J37" s="26">
        <v>2.5000000000000001E-2</v>
      </c>
      <c r="K37" s="23">
        <v>1.2</v>
      </c>
      <c r="L37" s="79"/>
      <c r="M37" s="74"/>
      <c r="N37" s="20">
        <v>0.6</v>
      </c>
      <c r="O37" s="5"/>
      <c r="P37" s="5"/>
      <c r="Q37" s="5"/>
      <c r="R37" s="5"/>
      <c r="S37" s="5"/>
      <c r="T37" s="5"/>
      <c r="U37" s="59"/>
      <c r="V37" s="5"/>
      <c r="W37" s="5"/>
      <c r="X37" s="61"/>
      <c r="Y37" s="5"/>
      <c r="Z37" s="59">
        <v>0</v>
      </c>
      <c r="AA37" s="3" t="s">
        <v>27</v>
      </c>
    </row>
    <row r="38" spans="2:27" ht="12" customHeight="1">
      <c r="B38" s="19"/>
      <c r="C38" s="298" t="s">
        <v>48</v>
      </c>
      <c r="D38" s="21">
        <v>0.9</v>
      </c>
      <c r="E38" s="50">
        <v>0.22</v>
      </c>
      <c r="F38" s="12"/>
      <c r="G38" s="25">
        <v>153</v>
      </c>
      <c r="H38" s="25">
        <v>6000</v>
      </c>
      <c r="I38" s="25">
        <v>69</v>
      </c>
      <c r="J38" s="24">
        <v>1</v>
      </c>
      <c r="K38" s="25">
        <v>43</v>
      </c>
      <c r="L38" s="80"/>
      <c r="M38" s="74"/>
      <c r="N38" s="20">
        <v>0.6</v>
      </c>
      <c r="O38" s="59">
        <f>Intro!$B$11*D38*E38/100</f>
        <v>1.1879999999999999</v>
      </c>
      <c r="P38" s="59">
        <f>O38*Intro!$C$6</f>
        <v>0.53459999999999996</v>
      </c>
      <c r="Q38" s="59"/>
      <c r="R38" s="68">
        <f>Intro!$B$11*$D38*G38/100</f>
        <v>826.2</v>
      </c>
      <c r="S38" s="68">
        <f>R38*Intro!$C$7</f>
        <v>330.48</v>
      </c>
      <c r="T38" s="68">
        <f>Intro!$B$11*$D38*H38/100</f>
        <v>32400</v>
      </c>
      <c r="U38" s="68">
        <f>T38*Intro!$C$8</f>
        <v>11340</v>
      </c>
      <c r="V38" s="68">
        <f>Intro!$B$11*$D38*K38/100</f>
        <v>232.2</v>
      </c>
      <c r="W38" s="59"/>
      <c r="X38" s="60"/>
      <c r="Y38" s="59">
        <v>0.37260000000000004</v>
      </c>
      <c r="Z38" s="59">
        <v>5.4</v>
      </c>
      <c r="AA38" s="3" t="s">
        <v>27</v>
      </c>
    </row>
    <row r="39" spans="2:27" ht="12" customHeight="1">
      <c r="B39" s="5" t="s">
        <v>37</v>
      </c>
      <c r="C39" s="298"/>
      <c r="D39" s="29"/>
      <c r="E39" s="51">
        <v>2.0500000000000001E-2</v>
      </c>
      <c r="F39" s="26"/>
      <c r="G39" s="23">
        <v>5</v>
      </c>
      <c r="H39" s="25">
        <v>10</v>
      </c>
      <c r="I39" s="24">
        <v>0.5</v>
      </c>
      <c r="J39" s="26">
        <v>2.5000000000000001E-2</v>
      </c>
      <c r="K39" s="23">
        <v>1.2</v>
      </c>
      <c r="L39" s="79"/>
      <c r="M39" s="74"/>
      <c r="N39" s="20">
        <v>0.6</v>
      </c>
      <c r="O39" s="5"/>
      <c r="P39" s="5"/>
      <c r="Q39" s="5"/>
      <c r="R39" s="5"/>
      <c r="S39" s="5"/>
      <c r="T39" s="5"/>
      <c r="U39" s="5"/>
      <c r="V39" s="5"/>
      <c r="W39" s="5"/>
      <c r="X39" s="61"/>
      <c r="Y39" s="5"/>
      <c r="Z39" s="5"/>
      <c r="AA39" s="3" t="s">
        <v>27</v>
      </c>
    </row>
    <row r="40" spans="2:27" ht="12" customHeight="1">
      <c r="B40" s="5" t="s">
        <v>37</v>
      </c>
      <c r="C40" s="19" t="s">
        <v>49</v>
      </c>
      <c r="D40" s="29"/>
      <c r="E40" s="50">
        <v>2.1000000000000001E-2</v>
      </c>
      <c r="F40" s="12"/>
      <c r="G40" s="23">
        <v>5</v>
      </c>
      <c r="H40" s="25">
        <v>10</v>
      </c>
      <c r="I40" s="24">
        <v>0.5</v>
      </c>
      <c r="J40" s="26">
        <v>2.5000000000000001E-2</v>
      </c>
      <c r="K40" s="23">
        <v>1.2</v>
      </c>
      <c r="L40" s="79"/>
      <c r="M40" s="74"/>
      <c r="N40" s="20">
        <v>0.6</v>
      </c>
      <c r="O40" s="5"/>
      <c r="P40" s="5"/>
      <c r="Q40" s="5"/>
      <c r="R40" s="5"/>
      <c r="S40" s="5"/>
      <c r="T40" s="5"/>
      <c r="U40" s="59"/>
      <c r="V40" s="5"/>
      <c r="W40" s="5"/>
      <c r="X40" s="61"/>
      <c r="Y40" s="5"/>
      <c r="Z40" s="59">
        <v>0</v>
      </c>
      <c r="AA40" s="3" t="s">
        <v>27</v>
      </c>
    </row>
    <row r="41" spans="2:27" ht="12" customHeight="1">
      <c r="B41" s="19"/>
      <c r="C41" s="19" t="s">
        <v>50</v>
      </c>
      <c r="D41" s="24">
        <v>0.8</v>
      </c>
      <c r="E41" s="50">
        <v>0.15</v>
      </c>
      <c r="F41" s="12"/>
      <c r="G41" s="25">
        <v>30</v>
      </c>
      <c r="H41" s="25">
        <v>70</v>
      </c>
      <c r="I41" s="12">
        <v>12</v>
      </c>
      <c r="J41" s="24">
        <v>0.2</v>
      </c>
      <c r="K41" s="25">
        <v>60</v>
      </c>
      <c r="L41" s="80"/>
      <c r="M41" s="74"/>
      <c r="N41" s="20">
        <v>0.6</v>
      </c>
      <c r="O41" s="59">
        <f>Intro!$B$11*D41*E41/100</f>
        <v>0.72</v>
      </c>
      <c r="P41" s="59">
        <f>O41*Intro!$C$6</f>
        <v>0.32400000000000001</v>
      </c>
      <c r="Q41" s="11"/>
      <c r="R41" s="68">
        <f>Intro!$B$11*$D41*G41/100</f>
        <v>144</v>
      </c>
      <c r="S41" s="68">
        <f>R41*Intro!$C$7</f>
        <v>57.6</v>
      </c>
      <c r="T41" s="68">
        <f>Intro!$B$11*$D41*H41/100</f>
        <v>336</v>
      </c>
      <c r="U41" s="68">
        <f>T41*Intro!$C$8</f>
        <v>117.6</v>
      </c>
      <c r="V41" s="68">
        <f>Intro!$B$11*$D41*K41/100</f>
        <v>288</v>
      </c>
      <c r="W41" s="59"/>
      <c r="X41" s="60"/>
      <c r="Y41" s="59">
        <v>5.7599999999999998E-2</v>
      </c>
      <c r="Z41" s="59">
        <v>0.96</v>
      </c>
      <c r="AA41" s="3" t="s">
        <v>27</v>
      </c>
    </row>
    <row r="42" spans="2:27" ht="12" customHeight="1">
      <c r="B42" s="19"/>
      <c r="C42" s="19" t="s">
        <v>51</v>
      </c>
      <c r="D42" s="24">
        <v>0.8</v>
      </c>
      <c r="E42" s="52">
        <v>0.13500000000000001</v>
      </c>
      <c r="F42" s="24"/>
      <c r="G42" s="12">
        <v>25</v>
      </c>
      <c r="H42" s="25">
        <v>60</v>
      </c>
      <c r="I42" s="23">
        <v>9</v>
      </c>
      <c r="J42" s="12">
        <v>0.17</v>
      </c>
      <c r="K42" s="25">
        <v>48</v>
      </c>
      <c r="L42" s="82"/>
      <c r="M42" s="74"/>
      <c r="N42" s="20">
        <v>0.6</v>
      </c>
      <c r="O42" s="59">
        <f>Intro!$B$11*D42*E42/100</f>
        <v>0.64800000000000013</v>
      </c>
      <c r="P42" s="59">
        <f>O42*Intro!$C$6</f>
        <v>0.29160000000000008</v>
      </c>
      <c r="Q42" s="59"/>
      <c r="R42" s="68">
        <f>Intro!$B$11*$D42*G42/100</f>
        <v>120</v>
      </c>
      <c r="S42" s="68">
        <f>R42*Intro!$C$7</f>
        <v>48</v>
      </c>
      <c r="T42" s="68">
        <f>Intro!$B$11*$D42*H42/100</f>
        <v>288</v>
      </c>
      <c r="U42" s="68">
        <f>T42*Intro!$C$8</f>
        <v>100.8</v>
      </c>
      <c r="V42" s="68">
        <f>Intro!$B$11*$D42*K42/100</f>
        <v>230.4</v>
      </c>
      <c r="W42" s="59"/>
      <c r="X42" s="60"/>
      <c r="Y42" s="59">
        <v>4.3200000000000002E-2</v>
      </c>
      <c r="Z42" s="59">
        <v>0.81600000000000006</v>
      </c>
      <c r="AA42" s="3" t="s">
        <v>27</v>
      </c>
    </row>
    <row r="43" spans="2:27" ht="12" customHeight="1">
      <c r="B43" s="19"/>
      <c r="C43" s="10" t="s">
        <v>52</v>
      </c>
      <c r="D43" s="24">
        <v>0.85</v>
      </c>
      <c r="E43" s="52">
        <v>0.14774133333333334</v>
      </c>
      <c r="F43" s="24"/>
      <c r="G43" s="25">
        <v>24.744999999999997</v>
      </c>
      <c r="H43" s="25">
        <v>56.8</v>
      </c>
      <c r="I43" s="23">
        <v>4.8</v>
      </c>
      <c r="J43" s="24">
        <v>0.28539999999999999</v>
      </c>
      <c r="K43" s="25">
        <v>68.536000000000001</v>
      </c>
      <c r="L43" s="80"/>
      <c r="M43" s="74"/>
      <c r="N43" s="20">
        <v>0.6</v>
      </c>
      <c r="O43" s="59">
        <f>Intro!$B$11*D43*E43/100</f>
        <v>0.75348079999999995</v>
      </c>
      <c r="P43" s="59">
        <f>O43*Intro!$C$6</f>
        <v>0.33906636000000001</v>
      </c>
      <c r="Q43" s="59"/>
      <c r="R43" s="68">
        <f>Intro!$B$11*$D43*G43/100</f>
        <v>126.19949999999999</v>
      </c>
      <c r="S43" s="68">
        <f>R43*Intro!$C$7</f>
        <v>50.479799999999997</v>
      </c>
      <c r="T43" s="68">
        <f>Intro!$B$11*$D43*H43/100</f>
        <v>289.68</v>
      </c>
      <c r="U43" s="68">
        <f>T43*Intro!$C$8</f>
        <v>101.38799999999999</v>
      </c>
      <c r="V43" s="68">
        <f>Intro!$B$11*$D43*K43/100</f>
        <v>349.53359999999998</v>
      </c>
      <c r="W43" s="59"/>
      <c r="X43" s="60"/>
      <c r="Y43" s="59">
        <v>2.4479999999999998E-2</v>
      </c>
      <c r="Z43" s="59">
        <v>1.4555399999999998</v>
      </c>
      <c r="AA43" s="3" t="s">
        <v>27</v>
      </c>
    </row>
    <row r="44" spans="2:27" ht="12" customHeight="1">
      <c r="B44" s="5"/>
      <c r="C44" s="5" t="s">
        <v>53</v>
      </c>
      <c r="D44" s="24">
        <v>0.85</v>
      </c>
      <c r="E44" s="52">
        <v>0.15935333333333335</v>
      </c>
      <c r="F44" s="24"/>
      <c r="G44" s="25">
        <v>29.844999999999999</v>
      </c>
      <c r="H44" s="25">
        <v>97</v>
      </c>
      <c r="I44" s="23">
        <v>7.5</v>
      </c>
      <c r="J44" s="24">
        <v>0.30640000000000001</v>
      </c>
      <c r="K44" s="25">
        <v>75.436000000000007</v>
      </c>
      <c r="L44" s="80"/>
      <c r="M44" s="74"/>
      <c r="N44" s="20">
        <v>0.6</v>
      </c>
      <c r="O44" s="59">
        <f>Intro!$B$11*D44*E44/100</f>
        <v>0.81270200000000004</v>
      </c>
      <c r="P44" s="59">
        <f>O44*Intro!$C$6</f>
        <v>0.36571590000000004</v>
      </c>
      <c r="Q44" s="62"/>
      <c r="R44" s="68">
        <f>Intro!$B$11*$D44*G44/100</f>
        <v>152.20949999999999</v>
      </c>
      <c r="S44" s="68">
        <f>R44*Intro!$C$7</f>
        <v>60.883800000000001</v>
      </c>
      <c r="T44" s="68">
        <f>Intro!$B$11*$D44*H44/100</f>
        <v>494.7</v>
      </c>
      <c r="U44" s="68">
        <f>T44*Intro!$C$8</f>
        <v>173.14499999999998</v>
      </c>
      <c r="V44" s="68">
        <f>Intro!$B$11*$D44*K44/100</f>
        <v>384.72360000000003</v>
      </c>
      <c r="W44" s="59"/>
      <c r="X44" s="60"/>
      <c r="Y44" s="59">
        <v>3.8249999999999999E-2</v>
      </c>
      <c r="Z44" s="59">
        <v>1.56264</v>
      </c>
      <c r="AA44" s="3" t="s">
        <v>27</v>
      </c>
    </row>
    <row r="45" spans="2:27" ht="12" customHeight="1">
      <c r="B45" s="5"/>
      <c r="C45" s="5" t="s">
        <v>54</v>
      </c>
      <c r="D45" s="24">
        <v>0.85</v>
      </c>
      <c r="E45" s="52">
        <v>0.14387066666666667</v>
      </c>
      <c r="F45" s="24"/>
      <c r="G45" s="25">
        <v>23.044999999999998</v>
      </c>
      <c r="H45" s="25">
        <v>43.4</v>
      </c>
      <c r="I45" s="23">
        <v>3.9</v>
      </c>
      <c r="J45" s="24">
        <v>0.27839999999999998</v>
      </c>
      <c r="K45" s="25">
        <v>66.236000000000004</v>
      </c>
      <c r="L45" s="80"/>
      <c r="M45" s="74"/>
      <c r="N45" s="20">
        <v>0.6</v>
      </c>
      <c r="O45" s="59">
        <f>Intro!$B$11*D45*E45/100</f>
        <v>0.73374040000000007</v>
      </c>
      <c r="P45" s="59">
        <f>O45*Intro!$C$6</f>
        <v>0.33018318000000002</v>
      </c>
      <c r="Q45" s="59"/>
      <c r="R45" s="68">
        <f>Intro!$B$11*$D45*G45/100</f>
        <v>117.52949999999998</v>
      </c>
      <c r="S45" s="68">
        <f>R45*Intro!$C$7</f>
        <v>47.011799999999994</v>
      </c>
      <c r="T45" s="68">
        <f>Intro!$B$11*$D45*H45/100</f>
        <v>221.34</v>
      </c>
      <c r="U45" s="68">
        <f>T45*Intro!$C$8</f>
        <v>77.468999999999994</v>
      </c>
      <c r="V45" s="68">
        <f>Intro!$B$11*$D45*K45/100</f>
        <v>337.80360000000002</v>
      </c>
      <c r="W45" s="59"/>
      <c r="X45" s="60"/>
      <c r="Y45" s="59">
        <v>1.9889999999999998E-2</v>
      </c>
      <c r="Z45" s="59">
        <v>1.41984</v>
      </c>
      <c r="AA45" s="3" t="s">
        <v>27</v>
      </c>
    </row>
    <row r="46" spans="2:27" ht="12" customHeight="1">
      <c r="B46" s="5" t="s">
        <v>37</v>
      </c>
      <c r="C46" s="19" t="s">
        <v>55</v>
      </c>
      <c r="D46" s="19"/>
      <c r="E46" s="52">
        <v>5.2389034097579786E-2</v>
      </c>
      <c r="F46" s="24"/>
      <c r="G46" s="25">
        <v>12.924337218858494</v>
      </c>
      <c r="H46" s="25">
        <v>77.340813109035082</v>
      </c>
      <c r="I46" s="23">
        <v>1.9869553695721449</v>
      </c>
      <c r="J46" s="26">
        <v>3.416857147649157E-2</v>
      </c>
      <c r="K46" s="25">
        <v>24.515413381221531</v>
      </c>
      <c r="L46" s="79"/>
      <c r="M46" s="74"/>
      <c r="N46" s="20">
        <v>0.6</v>
      </c>
      <c r="O46" s="5"/>
      <c r="P46" s="5"/>
      <c r="Q46" s="5"/>
      <c r="R46" s="5"/>
      <c r="S46" s="5"/>
      <c r="T46" s="5"/>
      <c r="U46" s="59"/>
      <c r="V46" s="5"/>
      <c r="W46" s="5"/>
      <c r="X46" s="61"/>
      <c r="Y46" s="64"/>
      <c r="Z46" s="59"/>
      <c r="AA46" s="3" t="s">
        <v>27</v>
      </c>
    </row>
    <row r="47" spans="2:27" ht="12" customHeight="1">
      <c r="B47" s="22"/>
      <c r="C47" s="298" t="s">
        <v>56</v>
      </c>
      <c r="D47" s="12">
        <v>0.85</v>
      </c>
      <c r="E47" s="52">
        <v>0.1</v>
      </c>
      <c r="F47" s="23">
        <v>1.1000000000000001</v>
      </c>
      <c r="G47" s="12">
        <v>40</v>
      </c>
      <c r="H47" s="12">
        <v>140</v>
      </c>
      <c r="I47" s="12">
        <v>30</v>
      </c>
      <c r="J47" s="12">
        <v>0.45</v>
      </c>
      <c r="K47" s="12">
        <v>140</v>
      </c>
      <c r="L47" s="82">
        <v>0.8</v>
      </c>
      <c r="M47" s="74">
        <v>1.7</v>
      </c>
      <c r="N47" s="20">
        <v>0.6</v>
      </c>
      <c r="O47" s="59">
        <f>Intro!$B$11*D47*E47/100</f>
        <v>0.51</v>
      </c>
      <c r="P47" s="59">
        <f>O47*Intro!$C$6</f>
        <v>0.22950000000000001</v>
      </c>
      <c r="Q47" s="63">
        <f>Intro!$B$11*$D47*F47/100</f>
        <v>5.61</v>
      </c>
      <c r="R47" s="68">
        <f>Intro!$B$11*$D47*G47/100</f>
        <v>204</v>
      </c>
      <c r="S47" s="68">
        <f>R47*Intro!$C$7</f>
        <v>81.600000000000009</v>
      </c>
      <c r="T47" s="68">
        <f>Intro!$B$11*$D47*H47/100</f>
        <v>714</v>
      </c>
      <c r="U47" s="68">
        <f>T47*Intro!$C$8</f>
        <v>249.89999999999998</v>
      </c>
      <c r="V47" s="68">
        <f>Intro!$B$11*$D47*K47/100</f>
        <v>714</v>
      </c>
      <c r="W47" s="63">
        <f>Intro!$B$11*$D47*L47/100</f>
        <v>4.08</v>
      </c>
      <c r="X47" s="63">
        <f>Intro!$B$11*$D47*M47/100</f>
        <v>8.67</v>
      </c>
      <c r="Y47" s="59">
        <v>0.153</v>
      </c>
      <c r="Z47" s="59">
        <v>2.2949999999999999</v>
      </c>
      <c r="AA47" s="3" t="s">
        <v>27</v>
      </c>
    </row>
    <row r="48" spans="2:27" ht="12" customHeight="1">
      <c r="B48" s="5" t="s">
        <v>35</v>
      </c>
      <c r="C48" s="298"/>
      <c r="D48" s="23">
        <v>1</v>
      </c>
      <c r="E48" s="52">
        <v>0.16</v>
      </c>
      <c r="F48" s="24"/>
      <c r="G48" s="12">
        <v>50</v>
      </c>
      <c r="H48" s="12">
        <v>230</v>
      </c>
      <c r="I48" s="12">
        <v>50</v>
      </c>
      <c r="J48" s="23">
        <v>1</v>
      </c>
      <c r="K48" s="12">
        <v>300</v>
      </c>
      <c r="L48" s="83"/>
      <c r="M48" s="74"/>
      <c r="N48" s="20">
        <v>0.6</v>
      </c>
      <c r="O48" s="59">
        <f>Intro!$B$11*D48*E48/100</f>
        <v>0.96</v>
      </c>
      <c r="P48" s="59">
        <f>O48*Intro!$C$6</f>
        <v>0.432</v>
      </c>
      <c r="Q48" s="62"/>
      <c r="R48" s="68">
        <f>Intro!$B$11*$D48*G48/100</f>
        <v>300</v>
      </c>
      <c r="S48" s="68">
        <f>R48*Intro!$C$7</f>
        <v>120</v>
      </c>
      <c r="T48" s="68">
        <f>Intro!$B$11*$D48*H48/100</f>
        <v>1380</v>
      </c>
      <c r="U48" s="68">
        <f>T48*Intro!$C$8</f>
        <v>482.99999999999994</v>
      </c>
      <c r="V48" s="68">
        <f>Intro!$B$11*$D48*K48/100</f>
        <v>1800</v>
      </c>
      <c r="W48" s="59"/>
      <c r="X48" s="60"/>
      <c r="Y48" s="59">
        <v>0.3</v>
      </c>
      <c r="Z48" s="59">
        <v>6</v>
      </c>
      <c r="AA48" s="3" t="s">
        <v>27</v>
      </c>
    </row>
    <row r="49" spans="2:28" ht="12" customHeight="1">
      <c r="B49" s="5" t="s">
        <v>36</v>
      </c>
      <c r="C49" s="298"/>
      <c r="D49" s="24">
        <v>0.7</v>
      </c>
      <c r="E49" s="51">
        <v>7.0000000000000007E-2</v>
      </c>
      <c r="F49" s="26"/>
      <c r="G49" s="12">
        <v>25</v>
      </c>
      <c r="H49" s="12">
        <v>50</v>
      </c>
      <c r="I49" s="12">
        <v>11</v>
      </c>
      <c r="J49" s="24">
        <v>0.2</v>
      </c>
      <c r="K49" s="12">
        <v>40</v>
      </c>
      <c r="L49" s="80"/>
      <c r="M49" s="74"/>
      <c r="N49" s="20">
        <v>0.6</v>
      </c>
      <c r="O49" s="59">
        <f>Intro!$B$11*D49*E49/100</f>
        <v>0.29400000000000004</v>
      </c>
      <c r="P49" s="59">
        <f>O49*Intro!$C$6</f>
        <v>0.13230000000000003</v>
      </c>
      <c r="Q49" s="59"/>
      <c r="R49" s="68">
        <f>Intro!$B$11*$D49*G49/100</f>
        <v>105</v>
      </c>
      <c r="S49" s="68">
        <f>R49*Intro!$C$7</f>
        <v>42</v>
      </c>
      <c r="T49" s="68">
        <f>Intro!$B$11*$D49*H49/100</f>
        <v>210</v>
      </c>
      <c r="U49" s="68">
        <f>T49*Intro!$C$8</f>
        <v>73.5</v>
      </c>
      <c r="V49" s="68">
        <f>Intro!$B$11*$D49*K49/100</f>
        <v>168</v>
      </c>
      <c r="W49" s="59"/>
      <c r="X49" s="60"/>
      <c r="Y49" s="59">
        <v>4.6199999999999998E-2</v>
      </c>
      <c r="Z49" s="59">
        <v>0.84000000000000008</v>
      </c>
      <c r="AA49" s="3" t="s">
        <v>27</v>
      </c>
    </row>
    <row r="50" spans="2:28" ht="12" customHeight="1">
      <c r="B50" s="5" t="s">
        <v>37</v>
      </c>
      <c r="C50" s="298"/>
      <c r="D50" s="19"/>
      <c r="E50" s="51">
        <v>2.9008324528006533E-2</v>
      </c>
      <c r="F50" s="26"/>
      <c r="G50" s="25">
        <v>11.035830691735294</v>
      </c>
      <c r="H50" s="25">
        <v>46.873220066081878</v>
      </c>
      <c r="I50" s="23">
        <v>3.6126461264948087</v>
      </c>
      <c r="J50" s="26">
        <v>4.0849779926730098E-2</v>
      </c>
      <c r="K50" s="25">
        <v>34.86689700283447</v>
      </c>
      <c r="L50" s="79"/>
      <c r="M50" s="74"/>
      <c r="N50" s="20">
        <v>0.6</v>
      </c>
      <c r="O50" s="5"/>
      <c r="P50" s="5"/>
      <c r="Q50" s="5"/>
      <c r="R50" s="5"/>
      <c r="S50" s="5"/>
      <c r="T50" s="5"/>
      <c r="U50" s="59"/>
      <c r="V50" s="5"/>
      <c r="W50" s="5"/>
      <c r="X50" s="61"/>
      <c r="Y50" s="64"/>
      <c r="Z50" s="59"/>
      <c r="AA50" s="3" t="s">
        <v>27</v>
      </c>
    </row>
    <row r="51" spans="2:28" ht="12" customHeight="1">
      <c r="B51" s="19"/>
      <c r="C51" s="298" t="s">
        <v>57</v>
      </c>
      <c r="D51" s="21">
        <v>0.85</v>
      </c>
      <c r="E51" s="50">
        <v>0.15</v>
      </c>
      <c r="F51" s="12"/>
      <c r="G51" s="25">
        <v>23</v>
      </c>
      <c r="H51" s="25">
        <v>33</v>
      </c>
      <c r="I51" s="23">
        <v>3.5</v>
      </c>
      <c r="J51" s="24">
        <v>0.3</v>
      </c>
      <c r="K51" s="23">
        <v>7.4</v>
      </c>
      <c r="L51" s="80"/>
      <c r="M51" s="74"/>
      <c r="N51" s="20">
        <v>0.6</v>
      </c>
      <c r="O51" s="59">
        <f>Intro!$B$11*D51*E51/100</f>
        <v>0.76500000000000001</v>
      </c>
      <c r="P51" s="59">
        <f>O51*Intro!$C$6</f>
        <v>0.34425</v>
      </c>
      <c r="Q51" s="62"/>
      <c r="R51" s="68">
        <f>Intro!$B$11*$D51*G51/100</f>
        <v>117.3</v>
      </c>
      <c r="S51" s="68">
        <f>R51*Intro!$C$7</f>
        <v>46.92</v>
      </c>
      <c r="T51" s="68">
        <f>Intro!$B$11*$D51*H51/100</f>
        <v>168.3</v>
      </c>
      <c r="U51" s="68">
        <f>T51*Intro!$C$8</f>
        <v>58.905000000000001</v>
      </c>
      <c r="V51" s="68">
        <f>Intro!$B$11*$D51*K51/100</f>
        <v>37.74</v>
      </c>
      <c r="W51" s="59"/>
      <c r="X51" s="60"/>
      <c r="Y51" s="59">
        <v>1.7850000000000001E-2</v>
      </c>
      <c r="Z51" s="59">
        <v>1.53</v>
      </c>
      <c r="AA51" s="3" t="s">
        <v>27</v>
      </c>
    </row>
    <row r="52" spans="2:28" ht="12" customHeight="1">
      <c r="B52" s="5" t="s">
        <v>37</v>
      </c>
      <c r="C52" s="298"/>
      <c r="D52" s="29"/>
      <c r="E52" s="51">
        <v>2.0500000000000001E-2</v>
      </c>
      <c r="F52" s="26"/>
      <c r="G52" s="23">
        <v>5</v>
      </c>
      <c r="H52" s="25">
        <v>10</v>
      </c>
      <c r="I52" s="24">
        <v>0.5</v>
      </c>
      <c r="J52" s="26">
        <v>2.5000000000000001E-2</v>
      </c>
      <c r="K52" s="23">
        <v>1.2</v>
      </c>
      <c r="L52" s="79"/>
      <c r="M52" s="74"/>
      <c r="N52" s="20">
        <v>0.6</v>
      </c>
      <c r="O52" s="5"/>
      <c r="P52" s="5"/>
      <c r="Q52" s="5"/>
      <c r="R52" s="5"/>
      <c r="S52" s="5"/>
      <c r="T52" s="5"/>
      <c r="U52" s="59"/>
      <c r="V52" s="5"/>
      <c r="W52" s="5"/>
      <c r="X52" s="61"/>
      <c r="Y52" s="5"/>
      <c r="Z52" s="59">
        <v>0</v>
      </c>
      <c r="AA52" s="3" t="s">
        <v>27</v>
      </c>
    </row>
    <row r="53" spans="2:28" ht="12" customHeight="1">
      <c r="B53" s="5" t="s">
        <v>37</v>
      </c>
      <c r="C53" s="19" t="s">
        <v>28</v>
      </c>
      <c r="D53" s="29"/>
      <c r="E53" s="50">
        <v>2.1000000000000001E-2</v>
      </c>
      <c r="F53" s="12"/>
      <c r="G53" s="23">
        <v>5</v>
      </c>
      <c r="H53" s="25">
        <v>10</v>
      </c>
      <c r="I53" s="24">
        <v>0.5</v>
      </c>
      <c r="J53" s="26">
        <v>2.5000000000000001E-2</v>
      </c>
      <c r="K53" s="23">
        <v>1.2</v>
      </c>
      <c r="L53" s="79"/>
      <c r="M53" s="74"/>
      <c r="N53" s="20">
        <v>0.6</v>
      </c>
      <c r="O53" s="5"/>
      <c r="P53" s="5"/>
      <c r="Q53" s="5"/>
      <c r="R53" s="5"/>
      <c r="S53" s="5"/>
      <c r="T53" s="5"/>
      <c r="U53" s="59"/>
      <c r="V53" s="5"/>
      <c r="W53" s="5"/>
      <c r="X53" s="61"/>
      <c r="Y53" s="5"/>
      <c r="Z53" s="59">
        <v>0</v>
      </c>
      <c r="AA53" s="3" t="s">
        <v>27</v>
      </c>
    </row>
    <row r="54" spans="2:28" ht="12" customHeight="1">
      <c r="B54" s="19"/>
      <c r="C54" s="19" t="s">
        <v>58</v>
      </c>
      <c r="D54" s="21">
        <v>0.3</v>
      </c>
      <c r="E54" s="50">
        <v>7.5999999999999998E-2</v>
      </c>
      <c r="F54" s="12"/>
      <c r="G54" s="25">
        <v>8.6999999999999993</v>
      </c>
      <c r="H54" s="25">
        <v>17</v>
      </c>
      <c r="I54" s="23">
        <v>3.7</v>
      </c>
      <c r="J54" s="24">
        <v>0.2</v>
      </c>
      <c r="K54" s="25">
        <v>24.5</v>
      </c>
      <c r="L54" s="80"/>
      <c r="M54" s="74"/>
      <c r="N54" s="20">
        <v>0.6</v>
      </c>
      <c r="O54" s="5"/>
      <c r="P54" s="5"/>
      <c r="Q54" s="5"/>
      <c r="R54" s="5"/>
      <c r="S54" s="5"/>
      <c r="T54" s="5"/>
      <c r="U54" s="59"/>
      <c r="V54" s="5"/>
      <c r="W54" s="5"/>
      <c r="X54" s="61"/>
      <c r="Y54" s="5"/>
      <c r="Z54" s="59">
        <v>0.36</v>
      </c>
      <c r="AA54" s="3" t="s">
        <v>27</v>
      </c>
    </row>
    <row r="55" spans="2:28" ht="12" customHeight="1">
      <c r="B55" s="5" t="s">
        <v>37</v>
      </c>
      <c r="C55" s="19" t="s">
        <v>29</v>
      </c>
      <c r="D55" s="29"/>
      <c r="E55" s="50">
        <v>2.8000000000000001E-2</v>
      </c>
      <c r="F55" s="12"/>
      <c r="G55" s="23">
        <v>4.5999999999999996</v>
      </c>
      <c r="H55" s="23">
        <v>9.1999999999999993</v>
      </c>
      <c r="I55" s="24">
        <v>0.61</v>
      </c>
      <c r="J55" s="26">
        <v>2.5999999999999999E-2</v>
      </c>
      <c r="K55" s="23">
        <v>6.7</v>
      </c>
      <c r="L55" s="79"/>
      <c r="M55" s="74"/>
      <c r="N55" s="20">
        <v>0.6</v>
      </c>
      <c r="O55" s="5"/>
      <c r="P55" s="5"/>
      <c r="Q55" s="5"/>
      <c r="R55" s="5"/>
      <c r="S55" s="5"/>
      <c r="T55" s="5"/>
      <c r="U55" s="59"/>
      <c r="V55" s="5"/>
      <c r="W55" s="5"/>
      <c r="X55" s="61"/>
      <c r="Y55" s="5"/>
      <c r="Z55" s="59">
        <v>0</v>
      </c>
      <c r="AA55" s="3" t="s">
        <v>27</v>
      </c>
    </row>
    <row r="56" spans="2:28" ht="12" customHeight="1">
      <c r="B56" s="19"/>
      <c r="C56" s="298" t="s">
        <v>59</v>
      </c>
      <c r="D56" s="21">
        <v>0.67500000000000004</v>
      </c>
      <c r="E56" s="50">
        <v>5.7000000000000002E-2</v>
      </c>
      <c r="F56" s="12"/>
      <c r="G56" s="25">
        <v>13</v>
      </c>
      <c r="H56" s="25">
        <v>33</v>
      </c>
      <c r="I56" s="23">
        <v>2.4</v>
      </c>
      <c r="J56" s="24">
        <v>0.14000000000000001</v>
      </c>
      <c r="K56" s="23">
        <v>9.35</v>
      </c>
      <c r="L56" s="80"/>
      <c r="M56" s="74"/>
      <c r="N56" s="20">
        <v>0.6</v>
      </c>
      <c r="O56" s="59">
        <f>Intro!$B$11*D56*E56/100</f>
        <v>0.23085</v>
      </c>
      <c r="P56" s="59">
        <f>O56*Intro!$C$6</f>
        <v>0.1038825</v>
      </c>
      <c r="Q56" s="59"/>
      <c r="R56" s="68">
        <f>Intro!$B$11*$D56*G56/100</f>
        <v>52.65</v>
      </c>
      <c r="S56" s="68">
        <f>R56*Intro!$C$7</f>
        <v>21.060000000000002</v>
      </c>
      <c r="T56" s="68">
        <f>Intro!$B$11*$D56*H56/100</f>
        <v>133.65</v>
      </c>
      <c r="U56" s="68">
        <f>T56*Intro!$C$8</f>
        <v>46.777499999999996</v>
      </c>
      <c r="V56" s="68">
        <f>Intro!$B$11*$D56*K56/100</f>
        <v>37.8675</v>
      </c>
      <c r="W56" s="59"/>
      <c r="X56" s="60"/>
      <c r="Y56" s="59">
        <v>9.7199999999999995E-3</v>
      </c>
      <c r="Z56" s="59">
        <v>0.56700000000000006</v>
      </c>
      <c r="AA56" s="3" t="s">
        <v>27</v>
      </c>
    </row>
    <row r="57" spans="2:28" ht="12" customHeight="1">
      <c r="B57" s="5" t="s">
        <v>37</v>
      </c>
      <c r="C57" s="298"/>
      <c r="D57" s="29"/>
      <c r="E57" s="50">
        <v>2.1000000000000001E-2</v>
      </c>
      <c r="F57" s="12"/>
      <c r="G57" s="23">
        <v>5</v>
      </c>
      <c r="H57" s="25">
        <v>10</v>
      </c>
      <c r="I57" s="24">
        <v>0.5</v>
      </c>
      <c r="J57" s="26">
        <v>2.5000000000000001E-2</v>
      </c>
      <c r="K57" s="23">
        <v>1.2</v>
      </c>
      <c r="L57" s="79"/>
      <c r="M57" s="74"/>
      <c r="N57" s="20">
        <v>0.6</v>
      </c>
      <c r="O57" s="5"/>
      <c r="P57" s="5"/>
      <c r="Q57" s="5"/>
      <c r="R57" s="5"/>
      <c r="S57" s="5"/>
      <c r="T57" s="5"/>
      <c r="U57" s="59"/>
      <c r="V57" s="5"/>
      <c r="W57" s="5"/>
      <c r="X57" s="61"/>
      <c r="Y57" s="5"/>
      <c r="Z57" s="59">
        <v>0</v>
      </c>
      <c r="AA57" s="3" t="s">
        <v>27</v>
      </c>
    </row>
    <row r="58" spans="2:28" ht="12" customHeight="1">
      <c r="B58" s="19"/>
      <c r="C58" s="298" t="s">
        <v>60</v>
      </c>
      <c r="D58" s="21">
        <v>0.8</v>
      </c>
      <c r="E58" s="50">
        <v>8.7999999999999995E-2</v>
      </c>
      <c r="F58" s="12"/>
      <c r="G58" s="25">
        <v>17</v>
      </c>
      <c r="H58" s="25">
        <v>33</v>
      </c>
      <c r="I58" s="23">
        <v>2.8</v>
      </c>
      <c r="J58" s="24">
        <v>0.19</v>
      </c>
      <c r="K58" s="23">
        <v>8.6999999999999993</v>
      </c>
      <c r="L58" s="80"/>
      <c r="M58" s="74"/>
      <c r="N58" s="20">
        <v>0.6</v>
      </c>
      <c r="O58" s="59">
        <f>Intro!$B$11*D58*E58/100</f>
        <v>0.42239999999999994</v>
      </c>
      <c r="P58" s="59">
        <f>O58*Intro!$C$6</f>
        <v>0.19007999999999997</v>
      </c>
      <c r="Q58" s="59"/>
      <c r="R58" s="68">
        <f>Intro!$B$11*$D58*G58/100</f>
        <v>81.599999999999994</v>
      </c>
      <c r="S58" s="68">
        <f>R58*Intro!$C$7</f>
        <v>32.64</v>
      </c>
      <c r="T58" s="68">
        <f>Intro!$B$11*$D58*H58/100</f>
        <v>158.4</v>
      </c>
      <c r="U58" s="68">
        <f>T58*Intro!$C$8</f>
        <v>55.44</v>
      </c>
      <c r="V58" s="68">
        <f>Intro!$B$11*$D58*K58/100</f>
        <v>41.76</v>
      </c>
      <c r="W58" s="59"/>
      <c r="X58" s="60"/>
      <c r="Y58" s="59">
        <v>1.3439999999999999E-2</v>
      </c>
      <c r="Z58" s="59">
        <v>0.91200000000000003</v>
      </c>
      <c r="AA58" s="3" t="s">
        <v>27</v>
      </c>
    </row>
    <row r="59" spans="2:28" ht="12" customHeight="1">
      <c r="B59" s="5" t="s">
        <v>37</v>
      </c>
      <c r="C59" s="298"/>
      <c r="D59" s="29"/>
      <c r="E59" s="50">
        <v>2.1000000000000001E-2</v>
      </c>
      <c r="F59" s="12"/>
      <c r="G59" s="23">
        <v>5</v>
      </c>
      <c r="H59" s="25">
        <v>10</v>
      </c>
      <c r="I59" s="24">
        <v>0.5</v>
      </c>
      <c r="J59" s="26">
        <v>2.5000000000000001E-2</v>
      </c>
      <c r="K59" s="23">
        <v>1.2</v>
      </c>
      <c r="L59" s="79"/>
      <c r="M59" s="74"/>
      <c r="N59" s="20">
        <v>0.6</v>
      </c>
      <c r="O59" s="5"/>
      <c r="P59" s="5"/>
      <c r="Q59" s="5"/>
      <c r="R59" s="5"/>
      <c r="S59" s="5"/>
      <c r="T59" s="5"/>
      <c r="U59" s="59"/>
      <c r="V59" s="5"/>
      <c r="W59" s="5"/>
      <c r="X59" s="61"/>
      <c r="Y59" s="5"/>
      <c r="Z59" s="59">
        <v>0</v>
      </c>
      <c r="AA59" s="3" t="s">
        <v>27</v>
      </c>
    </row>
    <row r="60" spans="2:28" ht="12" customHeight="1">
      <c r="B60" s="19"/>
      <c r="C60" s="19" t="s">
        <v>49</v>
      </c>
      <c r="D60" s="21">
        <v>0.8</v>
      </c>
      <c r="E60" s="50">
        <v>8.7999999999999995E-2</v>
      </c>
      <c r="F60" s="12"/>
      <c r="G60" s="25">
        <v>17</v>
      </c>
      <c r="H60" s="25">
        <v>33</v>
      </c>
      <c r="I60" s="23">
        <v>2.8</v>
      </c>
      <c r="J60" s="24">
        <v>0.19</v>
      </c>
      <c r="K60" s="23">
        <v>8.6999999999999993</v>
      </c>
      <c r="L60" s="80"/>
      <c r="M60" s="74"/>
      <c r="N60" s="20">
        <v>0.6</v>
      </c>
      <c r="O60" s="59">
        <f>Intro!$B$11*D60*E60/100</f>
        <v>0.42239999999999994</v>
      </c>
      <c r="P60" s="59">
        <f>O60*Intro!$C$6</f>
        <v>0.19007999999999997</v>
      </c>
      <c r="Q60" s="59"/>
      <c r="R60" s="68">
        <f>Intro!$B$11*$D60*G60/100</f>
        <v>81.599999999999994</v>
      </c>
      <c r="S60" s="68">
        <f>R60*Intro!$C$7</f>
        <v>32.64</v>
      </c>
      <c r="T60" s="68">
        <f>Intro!$B$11*$D60*H60/100</f>
        <v>158.4</v>
      </c>
      <c r="U60" s="68">
        <f>T60*Intro!$C$8</f>
        <v>55.44</v>
      </c>
      <c r="V60" s="68">
        <f>Intro!$B$11*$D60*K60/100</f>
        <v>41.76</v>
      </c>
      <c r="W60" s="59"/>
      <c r="X60" s="60"/>
      <c r="Y60" s="59">
        <v>1.3439999999999999E-2</v>
      </c>
      <c r="Z60" s="59">
        <v>0.91200000000000003</v>
      </c>
      <c r="AA60" s="3" t="s">
        <v>27</v>
      </c>
    </row>
    <row r="61" spans="2:28" ht="12" customHeight="1">
      <c r="B61" s="19"/>
      <c r="C61" s="19" t="s">
        <v>130</v>
      </c>
      <c r="D61" s="21">
        <v>0.8</v>
      </c>
      <c r="E61" s="50">
        <v>0.1</v>
      </c>
      <c r="F61" s="12">
        <v>1.9</v>
      </c>
      <c r="G61" s="25">
        <v>16</v>
      </c>
      <c r="H61" s="25">
        <v>29</v>
      </c>
      <c r="I61" s="23"/>
      <c r="J61" s="24"/>
      <c r="K61" s="23">
        <v>41</v>
      </c>
      <c r="L61" s="80">
        <v>0.36</v>
      </c>
      <c r="M61" s="74">
        <v>0.61</v>
      </c>
      <c r="N61" s="20"/>
      <c r="O61" s="59">
        <f>Intro!$B$11*D61*E61/100</f>
        <v>0.48</v>
      </c>
      <c r="P61" s="59">
        <f>O61*Intro!$C$6</f>
        <v>0.216</v>
      </c>
      <c r="Q61" s="63">
        <f>Intro!$B$11*$D61*F61/100</f>
        <v>9.1199999999999992</v>
      </c>
      <c r="R61" s="68">
        <f>Intro!$B$11*$D61*G61/100</f>
        <v>76.8</v>
      </c>
      <c r="S61" s="68">
        <f>R61*Intro!$C$7</f>
        <v>30.72</v>
      </c>
      <c r="T61" s="68">
        <f>Intro!$B$11*$D61*H61/100</f>
        <v>139.19999999999999</v>
      </c>
      <c r="U61" s="68">
        <f>T61*Intro!$C$8</f>
        <v>48.719999999999992</v>
      </c>
      <c r="V61" s="68">
        <f>Intro!$B$11*$D61*K61/100</f>
        <v>196.8</v>
      </c>
      <c r="W61" s="63">
        <f>Intro!$B$11*$D61*L61/100</f>
        <v>1.7279999999999998</v>
      </c>
      <c r="X61" s="87">
        <f>Intro!$B$11*$D61*M61/100</f>
        <v>2.9279999999999999</v>
      </c>
      <c r="Y61" s="59"/>
      <c r="Z61" s="59"/>
    </row>
    <row r="62" spans="2:28" ht="12" customHeight="1">
      <c r="B62" s="22"/>
      <c r="C62" s="298" t="s">
        <v>61</v>
      </c>
      <c r="D62" s="12">
        <v>1</v>
      </c>
      <c r="E62" s="51">
        <v>3.2000000000000001E-2</v>
      </c>
      <c r="F62" s="23">
        <v>1.8</v>
      </c>
      <c r="G62" s="23">
        <v>2.2999999999999998</v>
      </c>
      <c r="H62" s="12">
        <v>8.5</v>
      </c>
      <c r="I62" s="23">
        <v>1.4</v>
      </c>
      <c r="J62" s="26">
        <v>0.09</v>
      </c>
      <c r="K62" s="12">
        <v>0</v>
      </c>
      <c r="L62" s="83">
        <v>0</v>
      </c>
      <c r="M62" s="74">
        <v>7.0000000000000007E-2</v>
      </c>
      <c r="N62" s="20">
        <v>0.6</v>
      </c>
      <c r="O62" s="59">
        <f>Intro!$B$11*D62*E62/100</f>
        <v>0.192</v>
      </c>
      <c r="P62" s="59">
        <f>O62*Intro!$C$6</f>
        <v>8.6400000000000005E-2</v>
      </c>
      <c r="Q62" s="63">
        <f>Intro!$B$11*$D62*F62/100</f>
        <v>10.8</v>
      </c>
      <c r="R62" s="68">
        <f>Intro!$B$11*$D62*G62/100</f>
        <v>13.8</v>
      </c>
      <c r="S62" s="68">
        <f>R62*Intro!$C$7</f>
        <v>5.5200000000000005</v>
      </c>
      <c r="T62" s="68">
        <f>Intro!$B$11*$D62*H62/100</f>
        <v>51</v>
      </c>
      <c r="U62" s="68">
        <f>T62*Intro!$C$8</f>
        <v>17.849999999999998</v>
      </c>
      <c r="V62" s="68">
        <f>Intro!$B$11*$D62*K62/100</f>
        <v>0</v>
      </c>
      <c r="W62" s="63">
        <f>Intro!$B$11*$D62*L62/100</f>
        <v>0</v>
      </c>
      <c r="X62" s="87">
        <f>Intro!$B$11*$D62*M62/100</f>
        <v>0.4200000000000001</v>
      </c>
      <c r="Y62" s="59">
        <v>8.3999999999999995E-3</v>
      </c>
      <c r="Z62" s="59">
        <v>0.54</v>
      </c>
      <c r="AA62" s="3" t="s">
        <v>27</v>
      </c>
    </row>
    <row r="63" spans="2:28" ht="12" customHeight="1">
      <c r="B63" s="5" t="s">
        <v>35</v>
      </c>
      <c r="C63" s="298"/>
      <c r="D63" s="12">
        <v>1</v>
      </c>
      <c r="E63" s="52">
        <v>0.16</v>
      </c>
      <c r="F63" s="24"/>
      <c r="G63" s="25">
        <v>25</v>
      </c>
      <c r="H63" s="12">
        <v>20</v>
      </c>
      <c r="I63" s="25">
        <v>20</v>
      </c>
      <c r="J63" s="24">
        <v>0.3</v>
      </c>
      <c r="K63" s="12">
        <v>0</v>
      </c>
      <c r="L63" s="80"/>
      <c r="M63" s="74"/>
      <c r="N63" s="20">
        <v>0.6</v>
      </c>
      <c r="O63" s="59">
        <f>Intro!$B$11*D63*E63/100</f>
        <v>0.96</v>
      </c>
      <c r="P63" s="59">
        <f>O63*Intro!$C$6</f>
        <v>0.432</v>
      </c>
      <c r="Q63" s="62"/>
      <c r="R63" s="68">
        <f>Intro!$B$11*$D63*G63/100</f>
        <v>150</v>
      </c>
      <c r="S63" s="68">
        <f>R63*Intro!$C$7</f>
        <v>60</v>
      </c>
      <c r="T63" s="68">
        <f>Intro!$B$11*$D63*H63/100</f>
        <v>120</v>
      </c>
      <c r="U63" s="68">
        <f>T63*Intro!$C$8</f>
        <v>42</v>
      </c>
      <c r="V63" s="68">
        <f>Intro!$B$11*$D63*K63/100</f>
        <v>0</v>
      </c>
      <c r="W63" s="59"/>
      <c r="X63" s="60"/>
      <c r="Y63" s="59">
        <v>0.12</v>
      </c>
      <c r="Z63" s="59">
        <v>1.7999999999999998</v>
      </c>
      <c r="AA63" s="3" t="s">
        <v>27</v>
      </c>
    </row>
    <row r="64" spans="2:28" ht="12" customHeight="1">
      <c r="B64" s="17" t="s">
        <v>36</v>
      </c>
      <c r="C64" s="299"/>
      <c r="D64" s="15">
        <v>1</v>
      </c>
      <c r="E64" s="53">
        <v>0.01</v>
      </c>
      <c r="F64" s="33"/>
      <c r="G64" s="31">
        <v>2</v>
      </c>
      <c r="H64" s="31">
        <v>6</v>
      </c>
      <c r="I64" s="31">
        <v>1</v>
      </c>
      <c r="J64" s="33">
        <v>0.03</v>
      </c>
      <c r="K64" s="15">
        <v>0</v>
      </c>
      <c r="L64" s="84"/>
      <c r="M64" s="75"/>
      <c r="N64" s="16">
        <v>0.6</v>
      </c>
      <c r="O64" s="18">
        <f>Intro!$B$11*D64*E64/100</f>
        <v>0.06</v>
      </c>
      <c r="P64" s="18">
        <f>O64*Intro!$C$6</f>
        <v>2.7E-2</v>
      </c>
      <c r="Q64" s="18"/>
      <c r="R64" s="89">
        <f>Intro!$B$11*$D64*G64/100</f>
        <v>12</v>
      </c>
      <c r="S64" s="89">
        <f>R64*Intro!$C$7</f>
        <v>4.8000000000000007</v>
      </c>
      <c r="T64" s="89">
        <f>Intro!$B$11*$D64*H64/100</f>
        <v>36</v>
      </c>
      <c r="U64" s="89">
        <f>T64*Intro!$C$8</f>
        <v>12.6</v>
      </c>
      <c r="V64" s="89">
        <f>Intro!$B$11*$D64*K64/100</f>
        <v>0</v>
      </c>
      <c r="W64" s="18"/>
      <c r="X64" s="58"/>
      <c r="Y64" s="18">
        <v>6.0000000000000001E-3</v>
      </c>
      <c r="Z64" s="18">
        <v>0.18</v>
      </c>
      <c r="AA64" s="17" t="s">
        <v>27</v>
      </c>
      <c r="AB64" s="17"/>
    </row>
    <row r="66" spans="2:2" ht="12" customHeight="1">
      <c r="B66" s="279">
        <v>42668</v>
      </c>
    </row>
  </sheetData>
  <mergeCells count="16">
    <mergeCell ref="O4:Z4"/>
    <mergeCell ref="C58:C59"/>
    <mergeCell ref="C62:C64"/>
    <mergeCell ref="B8:AB8"/>
    <mergeCell ref="B22:AB22"/>
    <mergeCell ref="C34:C35"/>
    <mergeCell ref="C36:C37"/>
    <mergeCell ref="C38:C39"/>
    <mergeCell ref="C47:C50"/>
    <mergeCell ref="C51:C52"/>
    <mergeCell ref="C56:C57"/>
    <mergeCell ref="E4:M4"/>
    <mergeCell ref="C17:C20"/>
    <mergeCell ref="C23:C26"/>
    <mergeCell ref="C30:C31"/>
    <mergeCell ref="C32:C33"/>
  </mergeCells>
  <phoneticPr fontId="20" type="noConversion"/>
  <pageMargins left="0.70000000000000007" right="0.70000000000000007" top="0.75000000000000011" bottom="0.75000000000000011" header="0.30000000000000004" footer="0.30000000000000004"/>
  <pageSetup paperSize="9" orientation="portrait" horizontalDpi="4294967292" verticalDpi="4294967292"/>
  <headerFooter>
    <oddHeader>&amp;L&amp;"Arial Black,Kursiv"&amp;K828282Arbetsversion</oddHeader>
  </headerFooter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9"/>
  </sheetPr>
  <dimension ref="B2:L30"/>
  <sheetViews>
    <sheetView view="pageLayout" workbookViewId="0">
      <selection activeCell="F56" sqref="F56"/>
    </sheetView>
  </sheetViews>
  <sheetFormatPr baseColWidth="10" defaultColWidth="8.83203125" defaultRowHeight="12" customHeight="1" x14ac:dyDescent="0"/>
  <cols>
    <col min="1" max="1" width="5.6640625" style="1" customWidth="1"/>
    <col min="2" max="2" width="36" style="1" customWidth="1"/>
    <col min="3" max="12" width="7.6640625" style="1" customWidth="1"/>
    <col min="13" max="16384" width="8.83203125" style="1"/>
  </cols>
  <sheetData>
    <row r="2" spans="2:12" ht="12" customHeight="1">
      <c r="B2" s="2" t="s">
        <v>62</v>
      </c>
    </row>
    <row r="3" spans="2:12" ht="12" customHeight="1">
      <c r="B3" s="277" t="s">
        <v>63</v>
      </c>
    </row>
    <row r="5" spans="2:12" s="2" customFormat="1" ht="12" customHeight="1">
      <c r="B5" s="36" t="s">
        <v>64</v>
      </c>
      <c r="C5" s="37" t="s">
        <v>67</v>
      </c>
      <c r="D5" s="37" t="s">
        <v>68</v>
      </c>
      <c r="E5" s="37" t="s">
        <v>69</v>
      </c>
      <c r="F5" s="37" t="s">
        <v>70</v>
      </c>
      <c r="G5" s="37" t="s">
        <v>71</v>
      </c>
      <c r="H5" s="37" t="s">
        <v>72</v>
      </c>
      <c r="I5" s="37" t="s">
        <v>73</v>
      </c>
      <c r="J5" s="37" t="s">
        <v>8</v>
      </c>
      <c r="K5" s="37" t="s">
        <v>65</v>
      </c>
      <c r="L5" s="37" t="s">
        <v>66</v>
      </c>
    </row>
    <row r="7" spans="2:12" ht="12" customHeight="1">
      <c r="B7" s="38" t="s">
        <v>74</v>
      </c>
      <c r="C7" s="39"/>
      <c r="D7" s="39"/>
      <c r="E7" s="39"/>
      <c r="F7" s="39"/>
      <c r="G7" s="39"/>
      <c r="H7" s="39"/>
      <c r="I7" s="39"/>
      <c r="J7" s="39"/>
      <c r="K7" s="39"/>
      <c r="L7" s="39"/>
    </row>
    <row r="8" spans="2:12" ht="12" customHeight="1">
      <c r="B8" s="40" t="s">
        <v>75</v>
      </c>
      <c r="C8" s="39">
        <v>85</v>
      </c>
      <c r="D8" s="39">
        <v>65</v>
      </c>
      <c r="E8" s="39">
        <v>90</v>
      </c>
      <c r="F8" s="39">
        <v>70</v>
      </c>
      <c r="G8" s="39">
        <v>25</v>
      </c>
      <c r="H8" s="39">
        <v>85</v>
      </c>
      <c r="I8" s="39">
        <v>55</v>
      </c>
      <c r="J8" s="39">
        <v>95</v>
      </c>
      <c r="K8" s="39">
        <v>90</v>
      </c>
      <c r="L8" s="39">
        <v>85</v>
      </c>
    </row>
    <row r="9" spans="2:12" ht="12" customHeight="1">
      <c r="B9" s="40" t="s">
        <v>76</v>
      </c>
      <c r="C9" s="39">
        <v>65</v>
      </c>
      <c r="D9" s="41">
        <v>22.222222222222221</v>
      </c>
      <c r="E9" s="39">
        <v>40</v>
      </c>
      <c r="F9" s="42">
        <v>65</v>
      </c>
      <c r="G9" s="39">
        <v>15</v>
      </c>
      <c r="H9" s="42">
        <v>85</v>
      </c>
      <c r="I9" s="39">
        <v>55</v>
      </c>
      <c r="J9" s="39">
        <v>80</v>
      </c>
      <c r="K9" s="39">
        <v>80</v>
      </c>
      <c r="L9" s="39">
        <v>75</v>
      </c>
    </row>
    <row r="10" spans="2:12" ht="12" customHeight="1">
      <c r="B10" s="40" t="s">
        <v>77</v>
      </c>
      <c r="C10" s="39">
        <v>30</v>
      </c>
      <c r="D10" s="41">
        <v>0</v>
      </c>
      <c r="E10" s="39">
        <v>40</v>
      </c>
      <c r="F10" s="42">
        <v>65</v>
      </c>
      <c r="G10" s="39">
        <v>15</v>
      </c>
      <c r="H10" s="42">
        <v>65</v>
      </c>
      <c r="I10" s="39">
        <v>0</v>
      </c>
      <c r="J10" s="39">
        <v>70</v>
      </c>
      <c r="K10" s="39">
        <v>80</v>
      </c>
      <c r="L10" s="39">
        <v>60</v>
      </c>
    </row>
    <row r="11" spans="2:12" ht="12" customHeight="1">
      <c r="B11" s="40" t="s">
        <v>78</v>
      </c>
      <c r="C11" s="39">
        <v>65</v>
      </c>
      <c r="D11" s="39">
        <v>25</v>
      </c>
      <c r="E11" s="39">
        <v>40</v>
      </c>
      <c r="F11" s="39">
        <v>65</v>
      </c>
      <c r="G11" s="39">
        <v>40</v>
      </c>
      <c r="H11" s="39">
        <v>85</v>
      </c>
      <c r="I11" s="39">
        <v>70</v>
      </c>
      <c r="J11" s="39">
        <v>80</v>
      </c>
      <c r="K11" s="39">
        <v>80</v>
      </c>
      <c r="L11" s="39">
        <v>85</v>
      </c>
    </row>
    <row r="12" spans="2:12" ht="12" customHeight="1">
      <c r="B12" s="40" t="s">
        <v>79</v>
      </c>
      <c r="C12" s="39">
        <v>60</v>
      </c>
      <c r="D12" s="41">
        <v>15</v>
      </c>
      <c r="E12" s="39">
        <v>35</v>
      </c>
      <c r="F12" s="42">
        <v>65</v>
      </c>
      <c r="G12" s="39">
        <v>15</v>
      </c>
      <c r="H12" s="42">
        <v>70</v>
      </c>
      <c r="I12" s="39">
        <v>20</v>
      </c>
      <c r="J12" s="39">
        <v>80</v>
      </c>
      <c r="K12" s="39">
        <v>80</v>
      </c>
      <c r="L12" s="39">
        <v>60</v>
      </c>
    </row>
    <row r="13" spans="2:12" ht="12" customHeight="1">
      <c r="B13" s="40" t="s">
        <v>80</v>
      </c>
      <c r="C13" s="39">
        <v>65</v>
      </c>
      <c r="D13" s="41">
        <v>25</v>
      </c>
      <c r="E13" s="39">
        <v>40</v>
      </c>
      <c r="F13" s="42">
        <v>65</v>
      </c>
      <c r="G13" s="39">
        <v>40</v>
      </c>
      <c r="H13" s="42">
        <v>85</v>
      </c>
      <c r="I13" s="39">
        <v>70</v>
      </c>
      <c r="J13" s="39">
        <v>80</v>
      </c>
      <c r="K13" s="39">
        <v>80</v>
      </c>
      <c r="L13" s="39">
        <v>85</v>
      </c>
    </row>
    <row r="14" spans="2:12" ht="12" customHeight="1">
      <c r="B14" s="40"/>
      <c r="C14" s="39"/>
      <c r="D14" s="41"/>
      <c r="E14" s="39"/>
      <c r="F14" s="42"/>
      <c r="G14" s="39"/>
      <c r="H14" s="42"/>
      <c r="I14" s="39"/>
      <c r="J14" s="39"/>
      <c r="K14" s="39"/>
      <c r="L14" s="39"/>
    </row>
    <row r="15" spans="2:12" ht="12" customHeight="1">
      <c r="B15" s="38" t="s">
        <v>81</v>
      </c>
      <c r="C15" s="39"/>
      <c r="D15" s="41"/>
      <c r="E15" s="39"/>
      <c r="F15" s="42"/>
      <c r="G15" s="39"/>
      <c r="H15" s="42"/>
      <c r="I15" s="39"/>
      <c r="J15" s="39"/>
      <c r="K15" s="39"/>
      <c r="L15" s="39"/>
    </row>
    <row r="16" spans="2:12" ht="12" customHeight="1">
      <c r="B16" s="40" t="s">
        <v>82</v>
      </c>
      <c r="C16" s="39">
        <v>55</v>
      </c>
      <c r="D16" s="41">
        <v>0</v>
      </c>
      <c r="E16" s="39">
        <v>40</v>
      </c>
      <c r="F16" s="42">
        <v>75</v>
      </c>
      <c r="G16" s="39">
        <v>40</v>
      </c>
      <c r="H16" s="42">
        <v>80</v>
      </c>
      <c r="I16" s="39">
        <v>40</v>
      </c>
      <c r="J16" s="39">
        <v>85</v>
      </c>
      <c r="K16" s="39">
        <v>75</v>
      </c>
      <c r="L16" s="39">
        <v>75</v>
      </c>
    </row>
    <row r="17" spans="2:12" ht="12" customHeight="1">
      <c r="B17" s="40" t="s">
        <v>83</v>
      </c>
      <c r="C17" s="39">
        <v>55</v>
      </c>
      <c r="D17" s="41">
        <v>0</v>
      </c>
      <c r="E17" s="39">
        <v>15</v>
      </c>
      <c r="F17" s="42">
        <v>60</v>
      </c>
      <c r="G17" s="39">
        <v>15</v>
      </c>
      <c r="H17" s="42">
        <v>65</v>
      </c>
      <c r="I17" s="39">
        <v>20</v>
      </c>
      <c r="J17" s="39">
        <v>75</v>
      </c>
      <c r="K17" s="39">
        <v>65</v>
      </c>
      <c r="L17" s="39">
        <v>60</v>
      </c>
    </row>
    <row r="18" spans="2:12" ht="12" customHeight="1">
      <c r="B18" s="40" t="s">
        <v>84</v>
      </c>
      <c r="C18" s="39">
        <v>100</v>
      </c>
      <c r="D18" s="41">
        <v>100</v>
      </c>
      <c r="E18" s="39">
        <v>100</v>
      </c>
      <c r="F18" s="42">
        <v>100</v>
      </c>
      <c r="G18" s="39">
        <v>100</v>
      </c>
      <c r="H18" s="42">
        <v>100</v>
      </c>
      <c r="I18" s="39">
        <v>100</v>
      </c>
      <c r="J18" s="39">
        <v>100</v>
      </c>
      <c r="K18" s="39">
        <v>100</v>
      </c>
      <c r="L18" s="39">
        <v>100</v>
      </c>
    </row>
    <row r="19" spans="2:12" ht="12" customHeight="1">
      <c r="B19" s="40"/>
      <c r="C19" s="39"/>
      <c r="D19" s="41"/>
      <c r="E19" s="39"/>
      <c r="F19" s="42"/>
      <c r="G19" s="39"/>
      <c r="H19" s="42"/>
      <c r="I19" s="39"/>
      <c r="J19" s="39"/>
      <c r="K19" s="39"/>
      <c r="L19" s="39"/>
    </row>
    <row r="20" spans="2:12" ht="12" customHeight="1">
      <c r="B20" s="38" t="s">
        <v>85</v>
      </c>
      <c r="C20" s="39"/>
      <c r="D20" s="41"/>
      <c r="E20" s="39"/>
      <c r="F20" s="42"/>
      <c r="G20" s="39"/>
      <c r="H20" s="42"/>
      <c r="I20" s="39"/>
      <c r="J20" s="39"/>
      <c r="K20" s="39"/>
      <c r="L20" s="39"/>
    </row>
    <row r="21" spans="2:12" ht="12" customHeight="1">
      <c r="B21" s="40" t="s">
        <v>86</v>
      </c>
      <c r="C21" s="39">
        <v>25</v>
      </c>
      <c r="D21" s="41">
        <v>0</v>
      </c>
      <c r="E21" s="39">
        <v>0</v>
      </c>
      <c r="F21" s="42">
        <v>35</v>
      </c>
      <c r="G21" s="39">
        <v>0</v>
      </c>
      <c r="H21" s="42">
        <v>45</v>
      </c>
      <c r="I21" s="39">
        <v>0</v>
      </c>
      <c r="J21" s="39">
        <v>5</v>
      </c>
      <c r="K21" s="39">
        <v>0</v>
      </c>
      <c r="L21" s="39">
        <v>70</v>
      </c>
    </row>
    <row r="22" spans="2:12" ht="12" customHeight="1">
      <c r="B22" s="40" t="s">
        <v>87</v>
      </c>
      <c r="C22" s="39">
        <v>45</v>
      </c>
      <c r="D22" s="41">
        <v>0</v>
      </c>
      <c r="E22" s="39">
        <v>15</v>
      </c>
      <c r="F22" s="42">
        <v>60</v>
      </c>
      <c r="G22" s="39">
        <v>0</v>
      </c>
      <c r="H22" s="42">
        <v>70</v>
      </c>
      <c r="I22" s="39">
        <v>15</v>
      </c>
      <c r="J22" s="39">
        <v>80</v>
      </c>
      <c r="K22" s="39">
        <v>85</v>
      </c>
      <c r="L22" s="39">
        <v>80</v>
      </c>
    </row>
    <row r="23" spans="2:12" ht="12" customHeight="1">
      <c r="B23" s="40" t="s">
        <v>88</v>
      </c>
      <c r="C23" s="39">
        <v>0</v>
      </c>
      <c r="D23" s="41">
        <v>0</v>
      </c>
      <c r="E23" s="39">
        <v>5</v>
      </c>
      <c r="F23" s="42">
        <v>10</v>
      </c>
      <c r="G23" s="39">
        <v>0</v>
      </c>
      <c r="H23" s="42">
        <v>10</v>
      </c>
      <c r="I23" s="39">
        <v>0</v>
      </c>
      <c r="J23" s="39">
        <v>15</v>
      </c>
      <c r="K23" s="39">
        <v>80</v>
      </c>
      <c r="L23" s="39">
        <v>0</v>
      </c>
    </row>
    <row r="24" spans="2:12" ht="12" customHeight="1">
      <c r="B24" s="40"/>
      <c r="C24" s="39"/>
      <c r="D24" s="41"/>
      <c r="E24" s="39"/>
      <c r="F24" s="42"/>
      <c r="G24" s="39"/>
      <c r="H24" s="42"/>
      <c r="I24" s="39"/>
      <c r="J24" s="39"/>
      <c r="K24" s="39"/>
      <c r="L24" s="39"/>
    </row>
    <row r="25" spans="2:12" ht="12" customHeight="1">
      <c r="B25" s="38" t="s">
        <v>89</v>
      </c>
      <c r="C25" s="39"/>
      <c r="D25" s="41"/>
      <c r="E25" s="39"/>
      <c r="F25" s="42"/>
      <c r="G25" s="39"/>
      <c r="H25" s="42"/>
      <c r="I25" s="39"/>
      <c r="J25" s="39"/>
      <c r="K25" s="39"/>
      <c r="L25" s="39"/>
    </row>
    <row r="26" spans="2:12" ht="12" customHeight="1">
      <c r="B26" s="40" t="s">
        <v>90</v>
      </c>
      <c r="C26" s="39">
        <v>50</v>
      </c>
      <c r="D26" s="41">
        <v>30</v>
      </c>
      <c r="E26" s="39">
        <v>35</v>
      </c>
      <c r="F26" s="42">
        <v>60</v>
      </c>
      <c r="G26" s="39">
        <v>30</v>
      </c>
      <c r="H26" s="42">
        <v>65</v>
      </c>
      <c r="I26" s="39">
        <v>35</v>
      </c>
      <c r="J26" s="39">
        <v>80</v>
      </c>
      <c r="K26" s="39">
        <v>80</v>
      </c>
      <c r="L26" s="39">
        <v>70</v>
      </c>
    </row>
    <row r="27" spans="2:12" ht="12" customHeight="1">
      <c r="B27" s="40" t="s">
        <v>91</v>
      </c>
      <c r="C27" s="39">
        <v>50</v>
      </c>
      <c r="D27" s="39">
        <v>40</v>
      </c>
      <c r="E27" s="39">
        <v>35</v>
      </c>
      <c r="F27" s="42">
        <v>60</v>
      </c>
      <c r="G27" s="39">
        <v>40</v>
      </c>
      <c r="H27" s="42">
        <v>65</v>
      </c>
      <c r="I27" s="39">
        <v>45</v>
      </c>
      <c r="J27" s="39">
        <v>85</v>
      </c>
      <c r="K27" s="39">
        <v>90</v>
      </c>
      <c r="L27" s="39">
        <v>70</v>
      </c>
    </row>
    <row r="28" spans="2:12" ht="12" customHeight="1">
      <c r="B28" s="40" t="s">
        <v>92</v>
      </c>
      <c r="C28" s="39">
        <v>50</v>
      </c>
      <c r="D28" s="39">
        <v>30</v>
      </c>
      <c r="E28" s="39">
        <v>35</v>
      </c>
      <c r="F28" s="39">
        <v>60</v>
      </c>
      <c r="G28" s="39">
        <v>30</v>
      </c>
      <c r="H28" s="39">
        <v>65</v>
      </c>
      <c r="I28" s="39">
        <v>35</v>
      </c>
      <c r="J28" s="39">
        <v>85</v>
      </c>
      <c r="K28" s="39">
        <v>80</v>
      </c>
      <c r="L28" s="39">
        <v>70</v>
      </c>
    </row>
    <row r="29" spans="2:12" ht="12" customHeight="1">
      <c r="B29" s="40" t="s">
        <v>93</v>
      </c>
      <c r="C29" s="39">
        <v>20</v>
      </c>
      <c r="D29" s="41">
        <v>0</v>
      </c>
      <c r="E29" s="39">
        <v>25</v>
      </c>
      <c r="F29" s="42">
        <v>30</v>
      </c>
      <c r="G29" s="39">
        <v>0</v>
      </c>
      <c r="H29" s="42">
        <v>45</v>
      </c>
      <c r="I29" s="39">
        <v>0</v>
      </c>
      <c r="J29" s="39">
        <v>55</v>
      </c>
      <c r="K29" s="39">
        <v>75</v>
      </c>
      <c r="L29" s="39">
        <v>60</v>
      </c>
    </row>
    <row r="30" spans="2:12" ht="12" customHeight="1">
      <c r="B30" s="43" t="s">
        <v>94</v>
      </c>
      <c r="C30" s="44">
        <v>40</v>
      </c>
      <c r="D30" s="45">
        <v>40</v>
      </c>
      <c r="E30" s="44">
        <v>25</v>
      </c>
      <c r="F30" s="46">
        <v>50</v>
      </c>
      <c r="G30" s="44">
        <v>40</v>
      </c>
      <c r="H30" s="46">
        <v>50</v>
      </c>
      <c r="I30" s="44">
        <v>65</v>
      </c>
      <c r="J30" s="44">
        <v>70</v>
      </c>
      <c r="K30" s="44">
        <v>80</v>
      </c>
      <c r="L30" s="44">
        <v>70</v>
      </c>
    </row>
  </sheetData>
  <phoneticPr fontId="20" type="noConversion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/>
  <headerFooter>
    <oddHeader>&amp;L&amp;"Arial Black,Fet"&amp;12&amp;K000000Arbetsversion</oddHeader>
  </headerFooter>
  <legacyDrawing r:id="rId1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48"/>
  <sheetViews>
    <sheetView tabSelected="1" view="pageLayout" zoomScale="90" zoomScaleNormal="90" zoomScalePageLayoutView="90" workbookViewId="0">
      <selection activeCell="K50" sqref="K50"/>
    </sheetView>
  </sheetViews>
  <sheetFormatPr baseColWidth="10" defaultColWidth="8.83203125" defaultRowHeight="12" customHeight="1" x14ac:dyDescent="0"/>
  <cols>
    <col min="1" max="1" width="5.33203125" style="1" customWidth="1"/>
    <col min="2" max="2" width="21.5" style="1" customWidth="1"/>
    <col min="3" max="3" width="9.5" style="93" customWidth="1"/>
    <col min="4" max="4" width="9.83203125" style="93" bestFit="1" customWidth="1"/>
    <col min="5" max="12" width="8.83203125" style="93"/>
    <col min="13" max="16384" width="8.83203125" style="1"/>
  </cols>
  <sheetData>
    <row r="2" spans="2:12" ht="12" customHeight="1">
      <c r="B2" s="90" t="s">
        <v>0</v>
      </c>
    </row>
    <row r="3" spans="2:12" ht="12" customHeight="1">
      <c r="B3" s="67" t="s">
        <v>129</v>
      </c>
    </row>
    <row r="5" spans="2:12" ht="12" customHeight="1">
      <c r="B5" s="95" t="s">
        <v>95</v>
      </c>
      <c r="C5" s="102"/>
      <c r="D5" s="102"/>
      <c r="E5" s="102"/>
      <c r="F5" s="102"/>
      <c r="G5" s="102"/>
      <c r="H5" s="102"/>
      <c r="I5" s="102"/>
      <c r="J5" s="102"/>
      <c r="K5" s="102" t="s">
        <v>147</v>
      </c>
      <c r="L5" s="98">
        <f>Arealläckage!D11</f>
        <v>0.4</v>
      </c>
    </row>
    <row r="6" spans="2:12" ht="12" customHeight="1">
      <c r="B6" s="101" t="s">
        <v>108</v>
      </c>
      <c r="C6" s="103">
        <v>963</v>
      </c>
      <c r="D6" s="103" t="s">
        <v>111</v>
      </c>
      <c r="E6" s="102"/>
      <c r="F6" s="102"/>
      <c r="G6" s="102"/>
      <c r="H6" s="102"/>
      <c r="I6" s="102"/>
      <c r="J6" s="102"/>
      <c r="K6" s="102"/>
      <c r="L6" s="102"/>
    </row>
    <row r="7" spans="2:12" ht="12" customHeight="1">
      <c r="B7" s="96"/>
      <c r="C7" s="97" t="s">
        <v>67</v>
      </c>
      <c r="D7" s="97" t="s">
        <v>68</v>
      </c>
      <c r="E7" s="97" t="s">
        <v>69</v>
      </c>
      <c r="F7" s="97" t="s">
        <v>70</v>
      </c>
      <c r="G7" s="97" t="s">
        <v>71</v>
      </c>
      <c r="H7" s="97" t="s">
        <v>72</v>
      </c>
      <c r="I7" s="97" t="s">
        <v>73</v>
      </c>
      <c r="J7" s="97" t="s">
        <v>8</v>
      </c>
      <c r="K7" s="97" t="s">
        <v>65</v>
      </c>
      <c r="L7" s="97" t="s">
        <v>66</v>
      </c>
    </row>
    <row r="8" spans="2:12" ht="12" customHeight="1">
      <c r="B8" s="96"/>
      <c r="C8" s="97" t="s">
        <v>109</v>
      </c>
      <c r="D8" s="97" t="s">
        <v>109</v>
      </c>
      <c r="E8" s="97" t="s">
        <v>109</v>
      </c>
      <c r="F8" s="97" t="s">
        <v>110</v>
      </c>
      <c r="G8" s="97" t="s">
        <v>110</v>
      </c>
      <c r="H8" s="97" t="s">
        <v>110</v>
      </c>
      <c r="I8" s="97" t="s">
        <v>110</v>
      </c>
      <c r="J8" s="97" t="s">
        <v>109</v>
      </c>
      <c r="K8" s="97" t="s">
        <v>109</v>
      </c>
      <c r="L8" s="97" t="s">
        <v>110</v>
      </c>
    </row>
    <row r="9" spans="2:12" ht="12" customHeight="1">
      <c r="B9" s="96" t="s">
        <v>96</v>
      </c>
      <c r="C9" s="98">
        <f>Arealläckage!O11*$C$6/10000</f>
        <v>9.7070400000000001E-3</v>
      </c>
      <c r="D9" s="98">
        <f>Arealläckage!P11*$C$6/10000</f>
        <v>4.3681680000000004E-3</v>
      </c>
      <c r="E9" s="99">
        <f>Arealläckage!Q11*$C$6/10000</f>
        <v>0.46223999999999998</v>
      </c>
      <c r="F9" s="99">
        <f>Arealläckage!R11*$C$6/10000</f>
        <v>2.7734400000000003</v>
      </c>
      <c r="G9" s="99">
        <f>Arealläckage!S11*$C$6/10000</f>
        <v>1.1093760000000001</v>
      </c>
      <c r="H9" s="99">
        <f>Arealläckage!T11*$C$6/10000</f>
        <v>7.6269600000000004</v>
      </c>
      <c r="I9" s="99">
        <f>Arealläckage!U11*$C$6/10000</f>
        <v>2.6694360000000001</v>
      </c>
      <c r="J9" s="100">
        <f>Arealläckage!V11*$C$6/10000</f>
        <v>2.2360860000000002</v>
      </c>
      <c r="K9" s="98">
        <f>Arealläckage!W11*$C$6/10000</f>
        <v>2.3112000000000001E-2</v>
      </c>
      <c r="L9" s="99">
        <f>Arealläckage!X11*$C$6/10000</f>
        <v>0.39290399999999998</v>
      </c>
    </row>
    <row r="10" spans="2:12" ht="12" customHeight="1">
      <c r="B10" s="3"/>
      <c r="C10" s="130"/>
      <c r="D10" s="130"/>
      <c r="E10" s="131"/>
      <c r="F10" s="132"/>
      <c r="G10" s="132"/>
      <c r="H10" s="132"/>
      <c r="I10" s="132"/>
      <c r="J10" s="132"/>
      <c r="K10" s="130"/>
      <c r="L10" s="131"/>
    </row>
    <row r="11" spans="2:12" ht="12" customHeight="1">
      <c r="B11" s="3"/>
      <c r="C11" s="130"/>
      <c r="D11" s="130"/>
      <c r="E11" s="131"/>
      <c r="F11" s="132"/>
      <c r="G11" s="132"/>
      <c r="H11" s="132"/>
      <c r="I11" s="132"/>
      <c r="J11" s="132"/>
      <c r="K11" s="130"/>
      <c r="L11" s="131"/>
    </row>
    <row r="13" spans="2:12" ht="12" customHeight="1" thickBot="1"/>
    <row r="14" spans="2:12" ht="12" customHeight="1" thickTop="1">
      <c r="B14" s="105" t="s">
        <v>112</v>
      </c>
      <c r="C14" s="106"/>
      <c r="D14" s="106"/>
      <c r="E14" s="106"/>
      <c r="F14" s="106"/>
      <c r="G14" s="106"/>
      <c r="H14" s="106"/>
      <c r="I14" s="106"/>
      <c r="J14" s="106"/>
      <c r="K14" s="106" t="s">
        <v>147</v>
      </c>
      <c r="L14" s="254">
        <f>Arealläckage!D23</f>
        <v>0.9</v>
      </c>
    </row>
    <row r="15" spans="2:12" ht="12" customHeight="1">
      <c r="B15" s="107" t="s">
        <v>108</v>
      </c>
      <c r="C15" s="109">
        <v>928</v>
      </c>
      <c r="D15" s="109" t="s">
        <v>111</v>
      </c>
      <c r="E15" s="108"/>
      <c r="F15" s="108"/>
      <c r="G15" s="108"/>
      <c r="H15" s="108"/>
      <c r="I15" s="108"/>
      <c r="J15" s="108"/>
      <c r="K15" s="108"/>
      <c r="L15" s="110"/>
    </row>
    <row r="16" spans="2:12" ht="12" customHeight="1">
      <c r="B16" s="111"/>
      <c r="C16" s="104" t="s">
        <v>67</v>
      </c>
      <c r="D16" s="104" t="s">
        <v>68</v>
      </c>
      <c r="E16" s="104" t="s">
        <v>69</v>
      </c>
      <c r="F16" s="104" t="s">
        <v>70</v>
      </c>
      <c r="G16" s="104" t="s">
        <v>71</v>
      </c>
      <c r="H16" s="104" t="s">
        <v>72</v>
      </c>
      <c r="I16" s="104" t="s">
        <v>73</v>
      </c>
      <c r="J16" s="104" t="s">
        <v>8</v>
      </c>
      <c r="K16" s="104" t="s">
        <v>65</v>
      </c>
      <c r="L16" s="112" t="s">
        <v>66</v>
      </c>
    </row>
    <row r="17" spans="2:12" ht="12" customHeight="1">
      <c r="B17" s="111"/>
      <c r="C17" s="104" t="s">
        <v>109</v>
      </c>
      <c r="D17" s="104" t="s">
        <v>109</v>
      </c>
      <c r="E17" s="104" t="s">
        <v>109</v>
      </c>
      <c r="F17" s="104" t="s">
        <v>110</v>
      </c>
      <c r="G17" s="104" t="s">
        <v>110</v>
      </c>
      <c r="H17" s="104" t="s">
        <v>110</v>
      </c>
      <c r="I17" s="104" t="s">
        <v>110</v>
      </c>
      <c r="J17" s="104" t="s">
        <v>109</v>
      </c>
      <c r="K17" s="104" t="s">
        <v>109</v>
      </c>
      <c r="L17" s="112" t="s">
        <v>110</v>
      </c>
    </row>
    <row r="18" spans="2:12" ht="12" customHeight="1" thickBot="1">
      <c r="B18" s="113" t="s">
        <v>96</v>
      </c>
      <c r="C18" s="114">
        <f>$C$15/10000*Arealläckage!O23</f>
        <v>4.5100799999999996E-2</v>
      </c>
      <c r="D18" s="114">
        <f>$C$15/10000*Arealläckage!P23</f>
        <v>2.0295359999999998E-2</v>
      </c>
      <c r="E18" s="115">
        <f>$C$15/10000*Arealläckage!Q23</f>
        <v>0.90201600000000004</v>
      </c>
      <c r="F18" s="115">
        <f>$C$15/10000*Arealläckage!R23</f>
        <v>3.7584</v>
      </c>
      <c r="G18" s="115">
        <f>$C$15/10000*Arealläckage!S23</f>
        <v>1.5033599999999998</v>
      </c>
      <c r="H18" s="116">
        <f>$C$15/10000*Arealläckage!T23</f>
        <v>14.031359999999998</v>
      </c>
      <c r="I18" s="115">
        <f>$C$15/10000*Arealläckage!U23</f>
        <v>4.9109759999999989</v>
      </c>
      <c r="J18" s="116">
        <f>$C$15/10000*Arealläckage!V23</f>
        <v>12.527999999999999</v>
      </c>
      <c r="K18" s="114">
        <f>$C$15/10000*Arealläckage!W23</f>
        <v>0</v>
      </c>
      <c r="L18" s="117">
        <f>$C$15/10000*Arealläckage!X23</f>
        <v>0.22049279999999996</v>
      </c>
    </row>
    <row r="19" spans="2:12" ht="12" customHeight="1" thickTop="1"/>
    <row r="21" spans="2:12" ht="12" customHeight="1">
      <c r="B21" s="70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2:12" ht="12" customHeight="1">
      <c r="B22" s="127"/>
      <c r="C22" s="128"/>
      <c r="D22" s="128"/>
      <c r="E22" s="72"/>
      <c r="F22" s="72"/>
      <c r="G22" s="72"/>
      <c r="H22" s="72"/>
      <c r="I22" s="72"/>
      <c r="J22" s="72"/>
      <c r="K22" s="72"/>
      <c r="L22" s="72"/>
    </row>
    <row r="23" spans="2:12" ht="12" customHeight="1">
      <c r="B23" s="118" t="s">
        <v>113</v>
      </c>
      <c r="C23" s="119"/>
      <c r="D23" s="119"/>
      <c r="E23" s="119"/>
      <c r="F23" s="119"/>
      <c r="G23" s="119"/>
      <c r="H23" s="119"/>
      <c r="I23" s="119"/>
      <c r="J23" s="119"/>
      <c r="K23" s="119" t="s">
        <v>147</v>
      </c>
      <c r="L23" s="124">
        <v>0.3</v>
      </c>
    </row>
    <row r="24" spans="2:12" ht="12" customHeight="1">
      <c r="B24" s="120" t="s">
        <v>108</v>
      </c>
      <c r="C24" s="121">
        <v>195</v>
      </c>
      <c r="D24" s="121" t="s">
        <v>111</v>
      </c>
      <c r="E24" s="119"/>
      <c r="F24" s="119"/>
      <c r="G24" s="119"/>
      <c r="H24" s="119"/>
      <c r="I24" s="119"/>
      <c r="J24" s="119"/>
      <c r="K24" s="119"/>
      <c r="L24" s="119"/>
    </row>
    <row r="25" spans="2:12" ht="12" customHeight="1">
      <c r="B25" s="122"/>
      <c r="C25" s="123" t="s">
        <v>67</v>
      </c>
      <c r="D25" s="123" t="s">
        <v>68</v>
      </c>
      <c r="E25" s="123" t="s">
        <v>69</v>
      </c>
      <c r="F25" s="123" t="s">
        <v>70</v>
      </c>
      <c r="G25" s="123" t="s">
        <v>71</v>
      </c>
      <c r="H25" s="123" t="s">
        <v>72</v>
      </c>
      <c r="I25" s="123" t="s">
        <v>73</v>
      </c>
      <c r="J25" s="123" t="s">
        <v>8</v>
      </c>
      <c r="K25" s="123" t="s">
        <v>65</v>
      </c>
      <c r="L25" s="123" t="s">
        <v>66</v>
      </c>
    </row>
    <row r="26" spans="2:12" ht="12" customHeight="1">
      <c r="B26" s="122"/>
      <c r="C26" s="123" t="s">
        <v>109</v>
      </c>
      <c r="D26" s="123" t="s">
        <v>109</v>
      </c>
      <c r="E26" s="123" t="s">
        <v>109</v>
      </c>
      <c r="F26" s="123" t="s">
        <v>110</v>
      </c>
      <c r="G26" s="123" t="s">
        <v>110</v>
      </c>
      <c r="H26" s="123" t="s">
        <v>110</v>
      </c>
      <c r="I26" s="123" t="s">
        <v>110</v>
      </c>
      <c r="J26" s="123" t="s">
        <v>109</v>
      </c>
      <c r="K26" s="123" t="s">
        <v>109</v>
      </c>
      <c r="L26" s="123" t="s">
        <v>110</v>
      </c>
    </row>
    <row r="27" spans="2:12" ht="12" customHeight="1">
      <c r="B27" s="122" t="s">
        <v>96</v>
      </c>
      <c r="C27" s="124">
        <f>$C$24/10000*Arealläckage!O62</f>
        <v>3.7439999999999999E-3</v>
      </c>
      <c r="D27" s="124">
        <f>$C$24/10000*Arealläckage!P62</f>
        <v>1.6848000000000002E-3</v>
      </c>
      <c r="E27" s="125">
        <f>$C$24/10000*Arealläckage!Q62</f>
        <v>0.21060000000000001</v>
      </c>
      <c r="F27" s="125">
        <f>$C$24/10000*Arealläckage!R62</f>
        <v>0.26910000000000001</v>
      </c>
      <c r="G27" s="125">
        <f>$C$24/10000*Arealläckage!S62</f>
        <v>0.10764000000000001</v>
      </c>
      <c r="H27" s="125">
        <f>$C$24/10000*Arealläckage!T62</f>
        <v>0.99450000000000005</v>
      </c>
      <c r="I27" s="125">
        <f>$C$24/10000*Arealläckage!U62</f>
        <v>0.34807499999999997</v>
      </c>
      <c r="J27" s="126">
        <f>$C$24/10000*Arealläckage!V62</f>
        <v>0</v>
      </c>
      <c r="K27" s="124">
        <f>$C$24/10000*Arealläckage!W62</f>
        <v>0</v>
      </c>
      <c r="L27" s="124">
        <f>$C$24/10000*Arealläckage!X62</f>
        <v>8.1900000000000011E-3</v>
      </c>
    </row>
    <row r="28" spans="2:12" ht="12" customHeight="1">
      <c r="B28" s="122" t="s">
        <v>131</v>
      </c>
      <c r="C28" s="124">
        <f>C18</f>
        <v>4.5100799999999996E-2</v>
      </c>
      <c r="D28" s="124">
        <f t="shared" ref="D28:L28" si="0">D18</f>
        <v>2.0295359999999998E-2</v>
      </c>
      <c r="E28" s="125">
        <f t="shared" si="0"/>
        <v>0.90201600000000004</v>
      </c>
      <c r="F28" s="125">
        <f t="shared" si="0"/>
        <v>3.7584</v>
      </c>
      <c r="G28" s="125">
        <f t="shared" si="0"/>
        <v>1.5033599999999998</v>
      </c>
      <c r="H28" s="126">
        <f t="shared" si="0"/>
        <v>14.031359999999998</v>
      </c>
      <c r="I28" s="125">
        <f t="shared" si="0"/>
        <v>4.9109759999999989</v>
      </c>
      <c r="J28" s="126">
        <f t="shared" si="0"/>
        <v>12.527999999999999</v>
      </c>
      <c r="K28" s="124">
        <f t="shared" si="0"/>
        <v>0</v>
      </c>
      <c r="L28" s="125">
        <f t="shared" si="0"/>
        <v>0.22049279999999996</v>
      </c>
    </row>
    <row r="29" spans="2:12" ht="12" customHeight="1">
      <c r="B29" s="280" t="s">
        <v>114</v>
      </c>
      <c r="C29" s="280"/>
      <c r="D29" s="280"/>
      <c r="E29" s="280"/>
      <c r="F29" s="280"/>
      <c r="G29" s="280"/>
      <c r="H29" s="280"/>
      <c r="I29" s="280"/>
      <c r="J29" s="280"/>
      <c r="K29" s="280"/>
      <c r="L29" s="280"/>
    </row>
    <row r="30" spans="2:12" ht="12" customHeight="1">
      <c r="B30" s="122" t="s">
        <v>115</v>
      </c>
      <c r="C30" s="119">
        <f>Reningsgrader!C13</f>
        <v>65</v>
      </c>
      <c r="D30" s="119">
        <f>Reningsgrader!D13</f>
        <v>25</v>
      </c>
      <c r="E30" s="119">
        <f>Reningsgrader!E13</f>
        <v>40</v>
      </c>
      <c r="F30" s="119">
        <f>Reningsgrader!F13</f>
        <v>65</v>
      </c>
      <c r="G30" s="119">
        <f>Reningsgrader!G13</f>
        <v>40</v>
      </c>
      <c r="H30" s="119">
        <f>Reningsgrader!H13</f>
        <v>85</v>
      </c>
      <c r="I30" s="119">
        <f>Reningsgrader!I13</f>
        <v>70</v>
      </c>
      <c r="J30" s="119">
        <f>Reningsgrader!J13</f>
        <v>80</v>
      </c>
      <c r="K30" s="119">
        <f>Reningsgrader!K13</f>
        <v>80</v>
      </c>
      <c r="L30" s="119">
        <f>Reningsgrader!L13</f>
        <v>85</v>
      </c>
    </row>
    <row r="31" spans="2:12" ht="12" customHeight="1">
      <c r="B31" s="122" t="s">
        <v>116</v>
      </c>
      <c r="C31" s="124">
        <f>(C27+C28)-(C30/100*0.9*(C27+C28))</f>
        <v>2.0270591999999994E-2</v>
      </c>
      <c r="D31" s="124">
        <f t="shared" ref="D31:L31" si="1">(D27+D28)-(D30/100*0.9*(D27+D28))</f>
        <v>1.7034623999999998E-2</v>
      </c>
      <c r="E31" s="125">
        <f t="shared" si="1"/>
        <v>0.71207423999999997</v>
      </c>
      <c r="F31" s="125">
        <f t="shared" si="1"/>
        <v>1.6714124999999997</v>
      </c>
      <c r="G31" s="125">
        <f t="shared" si="1"/>
        <v>1.0310399999999997</v>
      </c>
      <c r="H31" s="125">
        <f t="shared" si="1"/>
        <v>3.5310770999999992</v>
      </c>
      <c r="I31" s="125">
        <f t="shared" si="1"/>
        <v>1.9458488699999994</v>
      </c>
      <c r="J31" s="125">
        <f t="shared" si="1"/>
        <v>3.5078399999999981</v>
      </c>
      <c r="K31" s="124">
        <f t="shared" si="1"/>
        <v>0</v>
      </c>
      <c r="L31" s="125">
        <f t="shared" si="1"/>
        <v>5.3740457999999991E-2</v>
      </c>
    </row>
    <row r="35" spans="2:12" ht="12" customHeight="1" thickBot="1"/>
    <row r="36" spans="2:12" ht="12" customHeight="1" thickTop="1">
      <c r="B36" s="133" t="s">
        <v>117</v>
      </c>
      <c r="C36" s="134"/>
      <c r="D36" s="134"/>
      <c r="E36" s="134"/>
      <c r="F36" s="134"/>
      <c r="G36" s="134"/>
      <c r="H36" s="134"/>
      <c r="I36" s="134"/>
      <c r="J36" s="134"/>
      <c r="K36" s="134" t="s">
        <v>147</v>
      </c>
      <c r="L36" s="255">
        <f>(C6*L5+C15*L14+C24*L23)/C37</f>
        <v>0.61308724832214767</v>
      </c>
    </row>
    <row r="37" spans="2:12" ht="12" customHeight="1">
      <c r="B37" s="135" t="s">
        <v>108</v>
      </c>
      <c r="C37" s="136">
        <f>C6+C15+C24</f>
        <v>2086</v>
      </c>
      <c r="D37" s="136" t="s">
        <v>111</v>
      </c>
      <c r="E37" s="77"/>
      <c r="F37" s="77"/>
      <c r="G37" s="77"/>
      <c r="H37" s="77"/>
      <c r="I37" s="77"/>
      <c r="J37" s="77"/>
      <c r="K37" s="77"/>
      <c r="L37" s="137"/>
    </row>
    <row r="38" spans="2:12" ht="12" customHeight="1">
      <c r="B38" s="138"/>
      <c r="C38" s="129" t="s">
        <v>67</v>
      </c>
      <c r="D38" s="129" t="s">
        <v>68</v>
      </c>
      <c r="E38" s="129" t="s">
        <v>69</v>
      </c>
      <c r="F38" s="129" t="s">
        <v>70</v>
      </c>
      <c r="G38" s="129" t="s">
        <v>71</v>
      </c>
      <c r="H38" s="129" t="s">
        <v>72</v>
      </c>
      <c r="I38" s="129" t="s">
        <v>73</v>
      </c>
      <c r="J38" s="129" t="s">
        <v>8</v>
      </c>
      <c r="K38" s="129" t="s">
        <v>65</v>
      </c>
      <c r="L38" s="139" t="s">
        <v>66</v>
      </c>
    </row>
    <row r="39" spans="2:12" ht="12" customHeight="1">
      <c r="B39" s="138"/>
      <c r="C39" s="129" t="s">
        <v>109</v>
      </c>
      <c r="D39" s="129" t="s">
        <v>109</v>
      </c>
      <c r="E39" s="129" t="s">
        <v>109</v>
      </c>
      <c r="F39" s="129" t="s">
        <v>110</v>
      </c>
      <c r="G39" s="129" t="s">
        <v>110</v>
      </c>
      <c r="H39" s="129" t="s">
        <v>110</v>
      </c>
      <c r="I39" s="129" t="s">
        <v>110</v>
      </c>
      <c r="J39" s="129" t="s">
        <v>109</v>
      </c>
      <c r="K39" s="129" t="s">
        <v>109</v>
      </c>
      <c r="L39" s="139" t="s">
        <v>110</v>
      </c>
    </row>
    <row r="40" spans="2:12" ht="12" customHeight="1">
      <c r="B40" s="138" t="s">
        <v>96</v>
      </c>
      <c r="C40" s="144">
        <f t="shared" ref="C40:L40" si="2">C9+C31</f>
        <v>2.9977631999999994E-2</v>
      </c>
      <c r="D40" s="144">
        <f t="shared" si="2"/>
        <v>2.1402791999999997E-2</v>
      </c>
      <c r="E40" s="145">
        <f t="shared" si="2"/>
        <v>1.17431424</v>
      </c>
      <c r="F40" s="145">
        <f t="shared" si="2"/>
        <v>4.4448524999999997</v>
      </c>
      <c r="G40" s="145">
        <f t="shared" si="2"/>
        <v>2.1404160000000001</v>
      </c>
      <c r="H40" s="146">
        <f t="shared" si="2"/>
        <v>11.1580371</v>
      </c>
      <c r="I40" s="145">
        <f t="shared" si="2"/>
        <v>4.61528487</v>
      </c>
      <c r="J40" s="146">
        <f t="shared" si="2"/>
        <v>5.7439259999999983</v>
      </c>
      <c r="K40" s="144">
        <f t="shared" si="2"/>
        <v>2.3112000000000001E-2</v>
      </c>
      <c r="L40" s="147">
        <f t="shared" si="2"/>
        <v>0.44664445799999997</v>
      </c>
    </row>
    <row r="41" spans="2:12" ht="12" customHeight="1">
      <c r="B41" s="138" t="s">
        <v>118</v>
      </c>
      <c r="C41" s="144">
        <f>C40*(10000/$C$37)</f>
        <v>0.14370868648130392</v>
      </c>
      <c r="D41" s="144">
        <f t="shared" ref="D41:L41" si="3">D40*(10000/$C$37)</f>
        <v>0.10260207094918504</v>
      </c>
      <c r="E41" s="145">
        <f t="shared" si="3"/>
        <v>5.6295025886864813</v>
      </c>
      <c r="F41" s="146">
        <f t="shared" si="3"/>
        <v>21.308017737296261</v>
      </c>
      <c r="G41" s="145">
        <f t="shared" si="3"/>
        <v>10.260862895493769</v>
      </c>
      <c r="H41" s="146">
        <f t="shared" si="3"/>
        <v>53.490110738255034</v>
      </c>
      <c r="I41" s="146">
        <f t="shared" si="3"/>
        <v>22.125047315436245</v>
      </c>
      <c r="J41" s="146">
        <f t="shared" si="3"/>
        <v>27.535599232981777</v>
      </c>
      <c r="K41" s="144">
        <f t="shared" si="3"/>
        <v>0.11079578139980825</v>
      </c>
      <c r="L41" s="147">
        <f t="shared" si="3"/>
        <v>2.1411527229146694</v>
      </c>
    </row>
    <row r="42" spans="2:12" ht="12" customHeight="1">
      <c r="B42" s="281" t="s">
        <v>119</v>
      </c>
      <c r="C42" s="129" t="s">
        <v>120</v>
      </c>
      <c r="D42" s="129" t="s">
        <v>120</v>
      </c>
      <c r="E42" s="129" t="s">
        <v>120</v>
      </c>
      <c r="F42" s="129" t="s">
        <v>148</v>
      </c>
      <c r="G42" s="129" t="s">
        <v>148</v>
      </c>
      <c r="H42" s="129" t="s">
        <v>148</v>
      </c>
      <c r="I42" s="129" t="s">
        <v>148</v>
      </c>
      <c r="J42" s="129" t="s">
        <v>120</v>
      </c>
      <c r="K42" s="129" t="s">
        <v>120</v>
      </c>
      <c r="L42" s="139" t="s">
        <v>148</v>
      </c>
    </row>
    <row r="43" spans="2:12" ht="12" customHeight="1" thickBot="1">
      <c r="B43" s="282"/>
      <c r="C43" s="140">
        <f>C41/($L$36*Intro!$B$11)*100</f>
        <v>3.9066948158573769E-2</v>
      </c>
      <c r="D43" s="140">
        <f>D41/($L$36*Intro!$B$11)*100</f>
        <v>2.7892188599577757E-2</v>
      </c>
      <c r="E43" s="141">
        <f>E41/($L$36*Intro!$B$11)*100</f>
        <v>1.5303701618578465</v>
      </c>
      <c r="F43" s="141">
        <f>F41/($L$36*Intro!$B$11)*100</f>
        <v>5.7925463288763783</v>
      </c>
      <c r="G43" s="141">
        <f>G41/($L$36*Intro!$B$11)*100</f>
        <v>2.7893971381656115</v>
      </c>
      <c r="H43" s="142">
        <f>H41/($L$36*Intro!$B$11)*100</f>
        <v>14.541190476190474</v>
      </c>
      <c r="I43" s="141">
        <f>I41/($L$36*Intro!$B$11)*100</f>
        <v>6.0146543513957313</v>
      </c>
      <c r="J43" s="142">
        <f>J41/($L$36*Intro!$B$11)*100</f>
        <v>7.4855031667839524</v>
      </c>
      <c r="K43" s="140">
        <f>K41/($L$36*Intro!$B$11)*100</f>
        <v>3.0119634060520761E-2</v>
      </c>
      <c r="L43" s="143">
        <f>L41/($L$36*Intro!$B$11)*100</f>
        <v>0.58206851982172181</v>
      </c>
    </row>
    <row r="44" spans="2:12" ht="12" customHeight="1" thickTop="1"/>
    <row r="45" spans="2:12" ht="12" hidden="1" customHeight="1">
      <c r="B45" s="2" t="s">
        <v>122</v>
      </c>
    </row>
    <row r="46" spans="2:12" ht="12" hidden="1" customHeight="1">
      <c r="B46" s="1" t="s">
        <v>123</v>
      </c>
      <c r="C46" s="92">
        <f>(C24*L23+C15*L14+L5*'1a'!C6)/C37</f>
        <v>0.61308724832214767</v>
      </c>
    </row>
    <row r="47" spans="2:12" ht="12" hidden="1" customHeight="1">
      <c r="B47" s="1" t="s">
        <v>124</v>
      </c>
      <c r="C47" s="94">
        <f>C46*600</f>
        <v>367.85234899328862</v>
      </c>
      <c r="D47" s="93" t="s">
        <v>101</v>
      </c>
    </row>
    <row r="48" spans="2:12" ht="12" hidden="1" customHeight="1">
      <c r="C48" s="181">
        <f>C47*10000</f>
        <v>3678523.4899328863</v>
      </c>
      <c r="D48" s="93" t="s">
        <v>125</v>
      </c>
    </row>
  </sheetData>
  <mergeCells count="2">
    <mergeCell ref="B29:L29"/>
    <mergeCell ref="B42:B43"/>
  </mergeCells>
  <phoneticPr fontId="20" type="noConversion"/>
  <pageMargins left="0.70000000000000007" right="0.70000000000000007" top="0.75000000000000011" bottom="0.75000000000000011" header="0.30000000000000004" footer="0.30000000000000004"/>
  <pageSetup paperSize="9" orientation="landscape"/>
  <headerFooter>
    <oddHeader>&amp;L&amp;"Arial Black,Kursiv"&amp;K00-049Arbetsversion</oddHeader>
  </headerFooter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55"/>
  <sheetViews>
    <sheetView view="pageLayout" zoomScale="90" zoomScaleNormal="90" zoomScalePageLayoutView="90" workbookViewId="0">
      <selection activeCell="F62" sqref="F62"/>
    </sheetView>
  </sheetViews>
  <sheetFormatPr baseColWidth="10" defaultColWidth="8.83203125" defaultRowHeight="12" customHeight="1" x14ac:dyDescent="0"/>
  <cols>
    <col min="1" max="1" width="5.33203125" style="1" customWidth="1"/>
    <col min="2" max="2" width="21.1640625" style="1" customWidth="1"/>
    <col min="3" max="3" width="9.1640625" style="93" customWidth="1"/>
    <col min="4" max="12" width="8.83203125" style="93"/>
    <col min="13" max="16384" width="8.83203125" style="1"/>
  </cols>
  <sheetData>
    <row r="2" spans="2:12" ht="12" customHeight="1">
      <c r="B2" s="90" t="s">
        <v>132</v>
      </c>
    </row>
    <row r="3" spans="2:12" ht="12" customHeight="1">
      <c r="B3" s="67" t="s">
        <v>129</v>
      </c>
    </row>
    <row r="5" spans="2:12" ht="12" customHeight="1">
      <c r="B5" s="148" t="s">
        <v>126</v>
      </c>
      <c r="C5" s="149"/>
      <c r="D5" s="149"/>
      <c r="E5" s="149"/>
      <c r="F5" s="149"/>
      <c r="G5" s="149"/>
      <c r="H5" s="149"/>
      <c r="I5" s="149"/>
      <c r="J5" s="149"/>
      <c r="K5" s="149" t="s">
        <v>147</v>
      </c>
      <c r="L5" s="149">
        <f>Arealläckage!D47</f>
        <v>0.85</v>
      </c>
    </row>
    <row r="6" spans="2:12" ht="12" customHeight="1">
      <c r="B6" s="150" t="s">
        <v>108</v>
      </c>
      <c r="C6" s="151">
        <v>291</v>
      </c>
      <c r="D6" s="151" t="s">
        <v>111</v>
      </c>
      <c r="E6" s="149"/>
      <c r="F6" s="149"/>
      <c r="G6" s="149"/>
      <c r="H6" s="149"/>
      <c r="I6" s="149"/>
      <c r="J6" s="149"/>
      <c r="K6" s="149"/>
      <c r="L6" s="149"/>
    </row>
    <row r="7" spans="2:12" ht="12" customHeight="1">
      <c r="B7" s="152"/>
      <c r="C7" s="153" t="s">
        <v>67</v>
      </c>
      <c r="D7" s="153" t="s">
        <v>68</v>
      </c>
      <c r="E7" s="153" t="s">
        <v>69</v>
      </c>
      <c r="F7" s="153" t="s">
        <v>70</v>
      </c>
      <c r="G7" s="153" t="s">
        <v>71</v>
      </c>
      <c r="H7" s="153" t="s">
        <v>72</v>
      </c>
      <c r="I7" s="153" t="s">
        <v>73</v>
      </c>
      <c r="J7" s="153" t="s">
        <v>8</v>
      </c>
      <c r="K7" s="153" t="s">
        <v>65</v>
      </c>
      <c r="L7" s="153" t="s">
        <v>66</v>
      </c>
    </row>
    <row r="8" spans="2:12" ht="12" customHeight="1">
      <c r="B8" s="152"/>
      <c r="C8" s="153" t="s">
        <v>109</v>
      </c>
      <c r="D8" s="153" t="s">
        <v>109</v>
      </c>
      <c r="E8" s="153" t="s">
        <v>109</v>
      </c>
      <c r="F8" s="153" t="s">
        <v>110</v>
      </c>
      <c r="G8" s="153" t="s">
        <v>110</v>
      </c>
      <c r="H8" s="153" t="s">
        <v>110</v>
      </c>
      <c r="I8" s="153" t="s">
        <v>110</v>
      </c>
      <c r="J8" s="153" t="s">
        <v>109</v>
      </c>
      <c r="K8" s="153" t="s">
        <v>109</v>
      </c>
      <c r="L8" s="153" t="s">
        <v>110</v>
      </c>
    </row>
    <row r="9" spans="2:12" ht="12" customHeight="1">
      <c r="B9" s="152" t="s">
        <v>96</v>
      </c>
      <c r="C9" s="154">
        <f>($C$6/10000)*Arealläckage!O47</f>
        <v>1.4841E-2</v>
      </c>
      <c r="D9" s="154">
        <f>($C$6/10000)*Arealläckage!P47</f>
        <v>6.6784500000000007E-3</v>
      </c>
      <c r="E9" s="155">
        <f>($C$6/10000)*Arealläckage!Q47</f>
        <v>0.16325100000000001</v>
      </c>
      <c r="F9" s="155">
        <f>($C$6/10000)*Arealläckage!R47</f>
        <v>5.9363999999999999</v>
      </c>
      <c r="G9" s="155">
        <f>($C$6/10000)*Arealläckage!S47</f>
        <v>2.3745600000000002</v>
      </c>
      <c r="H9" s="156">
        <f>($C$6/10000)*Arealläckage!T47</f>
        <v>20.7774</v>
      </c>
      <c r="I9" s="155">
        <f>($C$6/10000)*Arealläckage!U47</f>
        <v>7.2720899999999995</v>
      </c>
      <c r="J9" s="156">
        <f>($C$6/10000)*Arealläckage!V47</f>
        <v>20.7774</v>
      </c>
      <c r="K9" s="154">
        <f>($C$6/10000)*Arealläckage!W47</f>
        <v>0.118728</v>
      </c>
      <c r="L9" s="155">
        <f>($C$6/10000)*Arealläckage!X47</f>
        <v>0.25229699999999999</v>
      </c>
    </row>
    <row r="10" spans="2:12" ht="12" customHeight="1">
      <c r="B10" s="3"/>
      <c r="C10" s="130"/>
      <c r="D10" s="130"/>
      <c r="E10" s="131"/>
      <c r="F10" s="132"/>
      <c r="G10" s="132"/>
      <c r="H10" s="132"/>
      <c r="I10" s="132"/>
      <c r="J10" s="132"/>
      <c r="K10" s="130"/>
      <c r="L10" s="131"/>
    </row>
    <row r="11" spans="2:12" ht="12" customHeight="1">
      <c r="B11" s="3"/>
      <c r="C11" s="130"/>
      <c r="D11" s="130"/>
      <c r="E11" s="131"/>
      <c r="F11" s="132"/>
      <c r="G11" s="132"/>
      <c r="H11" s="132"/>
      <c r="I11" s="132"/>
      <c r="J11" s="132"/>
      <c r="K11" s="130"/>
      <c r="L11" s="131"/>
    </row>
    <row r="14" spans="2:12" ht="12" customHeight="1">
      <c r="B14" s="159" t="s">
        <v>127</v>
      </c>
      <c r="C14" s="158"/>
      <c r="D14" s="158"/>
      <c r="E14" s="158"/>
      <c r="F14" s="158"/>
      <c r="G14" s="158"/>
      <c r="H14" s="158"/>
      <c r="I14" s="158"/>
      <c r="J14" s="158"/>
      <c r="K14" s="158" t="s">
        <v>147</v>
      </c>
      <c r="L14" s="162">
        <f>Arealläckage!D61</f>
        <v>0.8</v>
      </c>
    </row>
    <row r="15" spans="2:12" ht="12" customHeight="1">
      <c r="B15" s="160" t="s">
        <v>108</v>
      </c>
      <c r="C15" s="157">
        <v>816</v>
      </c>
      <c r="D15" s="157" t="s">
        <v>111</v>
      </c>
      <c r="E15" s="158"/>
      <c r="F15" s="158"/>
      <c r="G15" s="158"/>
      <c r="H15" s="158"/>
      <c r="I15" s="158"/>
      <c r="J15" s="158"/>
      <c r="K15" s="158"/>
      <c r="L15" s="158"/>
    </row>
    <row r="16" spans="2:12" ht="12" customHeight="1">
      <c r="B16" s="161"/>
      <c r="C16" s="97" t="s">
        <v>67</v>
      </c>
      <c r="D16" s="97" t="s">
        <v>68</v>
      </c>
      <c r="E16" s="97" t="s">
        <v>69</v>
      </c>
      <c r="F16" s="97" t="s">
        <v>70</v>
      </c>
      <c r="G16" s="97" t="s">
        <v>71</v>
      </c>
      <c r="H16" s="97" t="s">
        <v>72</v>
      </c>
      <c r="I16" s="97" t="s">
        <v>73</v>
      </c>
      <c r="J16" s="97" t="s">
        <v>8</v>
      </c>
      <c r="K16" s="97" t="s">
        <v>65</v>
      </c>
      <c r="L16" s="97" t="s">
        <v>66</v>
      </c>
    </row>
    <row r="17" spans="2:12" ht="12" customHeight="1">
      <c r="B17" s="161"/>
      <c r="C17" s="97" t="s">
        <v>109</v>
      </c>
      <c r="D17" s="97" t="s">
        <v>109</v>
      </c>
      <c r="E17" s="97" t="s">
        <v>109</v>
      </c>
      <c r="F17" s="97" t="s">
        <v>110</v>
      </c>
      <c r="G17" s="97" t="s">
        <v>110</v>
      </c>
      <c r="H17" s="97" t="s">
        <v>110</v>
      </c>
      <c r="I17" s="97" t="s">
        <v>110</v>
      </c>
      <c r="J17" s="97" t="s">
        <v>109</v>
      </c>
      <c r="K17" s="97" t="s">
        <v>109</v>
      </c>
      <c r="L17" s="97" t="s">
        <v>110</v>
      </c>
    </row>
    <row r="18" spans="2:12" ht="12" customHeight="1">
      <c r="B18" s="161" t="s">
        <v>96</v>
      </c>
      <c r="C18" s="162">
        <f>($C$15/10000)*Arealläckage!O61</f>
        <v>3.9168000000000001E-2</v>
      </c>
      <c r="D18" s="162">
        <f>($C$15/10000)*Arealläckage!P61</f>
        <v>1.7625600000000002E-2</v>
      </c>
      <c r="E18" s="163">
        <f>($C$15/10000)*Arealläckage!Q61</f>
        <v>0.74419199999999996</v>
      </c>
      <c r="F18" s="163">
        <f>($C$15/10000)*Arealläckage!R61</f>
        <v>6.2668800000000005</v>
      </c>
      <c r="G18" s="163">
        <f>($C$15/10000)*Arealläckage!S61</f>
        <v>2.5067520000000001</v>
      </c>
      <c r="H18" s="164">
        <f>($C$15/10000)*Arealläckage!T61</f>
        <v>11.35872</v>
      </c>
      <c r="I18" s="163">
        <f>($C$15/10000)*Arealläckage!U61</f>
        <v>3.9755519999999995</v>
      </c>
      <c r="J18" s="164">
        <f>($C$15/10000)*Arealläckage!V61</f>
        <v>16.058880000000002</v>
      </c>
      <c r="K18" s="162">
        <f>($C$15/10000)*Arealläckage!W61</f>
        <v>0.14100479999999999</v>
      </c>
      <c r="L18" s="163">
        <f>($C$15/10000)*Arealläckage!X61</f>
        <v>0.23892480000000002</v>
      </c>
    </row>
    <row r="21" spans="2:12" ht="12" customHeight="1">
      <c r="B21" s="70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2:12" ht="12" customHeight="1" thickBot="1">
      <c r="B22" s="127"/>
      <c r="C22" s="128"/>
      <c r="D22" s="128"/>
      <c r="E22" s="72"/>
      <c r="F22" s="72"/>
      <c r="G22" s="72"/>
      <c r="H22" s="72"/>
      <c r="I22" s="72"/>
      <c r="J22" s="72"/>
      <c r="K22" s="72"/>
      <c r="L22" s="72"/>
    </row>
    <row r="23" spans="2:12" ht="12" customHeight="1" thickTop="1">
      <c r="B23" s="184" t="s">
        <v>128</v>
      </c>
      <c r="C23" s="185"/>
      <c r="D23" s="185"/>
      <c r="E23" s="185"/>
      <c r="F23" s="185"/>
      <c r="G23" s="185"/>
      <c r="H23" s="185"/>
      <c r="I23" s="185"/>
      <c r="J23" s="185"/>
      <c r="K23" s="185" t="s">
        <v>147</v>
      </c>
      <c r="L23" s="256">
        <f>Arealläckage!D9</f>
        <v>0.31</v>
      </c>
    </row>
    <row r="24" spans="2:12" ht="12" customHeight="1">
      <c r="B24" s="186" t="s">
        <v>108</v>
      </c>
      <c r="C24" s="187">
        <v>928</v>
      </c>
      <c r="D24" s="187" t="s">
        <v>111</v>
      </c>
      <c r="E24" s="188"/>
      <c r="F24" s="188"/>
      <c r="G24" s="188"/>
      <c r="H24" s="188"/>
      <c r="I24" s="188"/>
      <c r="J24" s="188"/>
      <c r="K24" s="188"/>
      <c r="L24" s="189"/>
    </row>
    <row r="25" spans="2:12" ht="12" customHeight="1">
      <c r="B25" s="190"/>
      <c r="C25" s="123" t="s">
        <v>67</v>
      </c>
      <c r="D25" s="123" t="s">
        <v>68</v>
      </c>
      <c r="E25" s="123" t="s">
        <v>69</v>
      </c>
      <c r="F25" s="123" t="s">
        <v>70</v>
      </c>
      <c r="G25" s="123" t="s">
        <v>71</v>
      </c>
      <c r="H25" s="123" t="s">
        <v>72</v>
      </c>
      <c r="I25" s="123" t="s">
        <v>73</v>
      </c>
      <c r="J25" s="123" t="s">
        <v>8</v>
      </c>
      <c r="K25" s="123" t="s">
        <v>65</v>
      </c>
      <c r="L25" s="191" t="s">
        <v>66</v>
      </c>
    </row>
    <row r="26" spans="2:12" ht="12" customHeight="1">
      <c r="B26" s="190"/>
      <c r="C26" s="123" t="s">
        <v>109</v>
      </c>
      <c r="D26" s="123" t="s">
        <v>109</v>
      </c>
      <c r="E26" s="123" t="s">
        <v>109</v>
      </c>
      <c r="F26" s="123" t="s">
        <v>110</v>
      </c>
      <c r="G26" s="123" t="s">
        <v>110</v>
      </c>
      <c r="H26" s="123" t="s">
        <v>110</v>
      </c>
      <c r="I26" s="123" t="s">
        <v>110</v>
      </c>
      <c r="J26" s="123" t="s">
        <v>109</v>
      </c>
      <c r="K26" s="123" t="s">
        <v>109</v>
      </c>
      <c r="L26" s="191" t="s">
        <v>110</v>
      </c>
    </row>
    <row r="27" spans="2:12" ht="12" customHeight="1" thickBot="1">
      <c r="B27" s="192" t="s">
        <v>96</v>
      </c>
      <c r="C27" s="193">
        <f>($C$24/10000)*Arealläckage!O9</f>
        <v>5.0056319999999994E-2</v>
      </c>
      <c r="D27" s="193">
        <f>($C$24/10000)*Arealläckage!P9</f>
        <v>2.2525343999999999E-2</v>
      </c>
      <c r="E27" s="194">
        <f>($C$24/10000)*Arealläckage!Q9</f>
        <v>0.67317119999999986</v>
      </c>
      <c r="F27" s="194">
        <f>($C$24/10000)*Arealläckage!R9</f>
        <v>2.5891199999999999</v>
      </c>
      <c r="G27" s="194">
        <f>($C$24/10000)*Arealläckage!S9</f>
        <v>1.0356479999999999</v>
      </c>
      <c r="H27" s="194">
        <f>($C$24/10000)*Arealläckage!T9</f>
        <v>3.9699839999999997</v>
      </c>
      <c r="I27" s="194">
        <f>($C$24/10000)*Arealläckage!U9</f>
        <v>1.3894943999999998</v>
      </c>
      <c r="J27" s="195">
        <f>($C$24/10000)*Arealläckage!V9</f>
        <v>3.2795520000000002</v>
      </c>
      <c r="K27" s="193">
        <f>($C$24/10000)*Arealläckage!W9</f>
        <v>0</v>
      </c>
      <c r="L27" s="196">
        <f>($C$24/10000)*Arealläckage!X9</f>
        <v>0.32795519999999995</v>
      </c>
    </row>
    <row r="28" spans="2:12" ht="12" customHeight="1" thickTop="1">
      <c r="B28" s="3"/>
      <c r="C28" s="130"/>
      <c r="D28" s="130"/>
      <c r="E28" s="131"/>
      <c r="F28" s="132"/>
      <c r="G28" s="132"/>
      <c r="H28" s="132"/>
      <c r="I28" s="132"/>
      <c r="J28" s="132"/>
      <c r="K28" s="130"/>
      <c r="L28" s="131"/>
    </row>
    <row r="29" spans="2:12" ht="12" customHeight="1">
      <c r="B29" s="3"/>
      <c r="C29" s="130"/>
      <c r="D29" s="130"/>
      <c r="E29" s="131"/>
      <c r="F29" s="132"/>
      <c r="G29" s="132"/>
      <c r="H29" s="132"/>
      <c r="I29" s="132"/>
      <c r="J29" s="132"/>
      <c r="K29" s="130"/>
      <c r="L29" s="131"/>
    </row>
    <row r="30" spans="2:12" ht="12" customHeight="1">
      <c r="B30" s="3"/>
      <c r="C30" s="130"/>
      <c r="D30" s="130"/>
      <c r="E30" s="131"/>
      <c r="F30" s="132"/>
      <c r="G30" s="132"/>
      <c r="H30" s="132"/>
      <c r="I30" s="132"/>
      <c r="J30" s="132"/>
      <c r="K30" s="130"/>
      <c r="L30" s="131"/>
    </row>
    <row r="31" spans="2:12" ht="12" customHeight="1">
      <c r="B31" s="3"/>
      <c r="C31" s="130"/>
      <c r="D31" s="130"/>
      <c r="E31" s="131"/>
      <c r="F31" s="132"/>
      <c r="G31" s="132"/>
      <c r="H31" s="132"/>
      <c r="I31" s="132"/>
      <c r="J31" s="132"/>
      <c r="K31" s="130"/>
      <c r="L31" s="131"/>
    </row>
    <row r="32" spans="2:12" ht="12" customHeight="1">
      <c r="B32" s="118" t="s">
        <v>78</v>
      </c>
      <c r="C32" s="119"/>
      <c r="D32" s="119"/>
      <c r="E32" s="119"/>
      <c r="F32" s="119"/>
      <c r="G32" s="119"/>
      <c r="H32" s="119"/>
      <c r="I32" s="119"/>
      <c r="J32" s="119"/>
      <c r="K32" s="119"/>
      <c r="L32" s="119"/>
    </row>
    <row r="33" spans="2:12" ht="12" customHeight="1">
      <c r="B33" s="122"/>
      <c r="C33" s="123" t="s">
        <v>67</v>
      </c>
      <c r="D33" s="123" t="s">
        <v>68</v>
      </c>
      <c r="E33" s="123" t="s">
        <v>69</v>
      </c>
      <c r="F33" s="123" t="s">
        <v>70</v>
      </c>
      <c r="G33" s="123" t="s">
        <v>71</v>
      </c>
      <c r="H33" s="123" t="s">
        <v>72</v>
      </c>
      <c r="I33" s="123" t="s">
        <v>73</v>
      </c>
      <c r="J33" s="123" t="s">
        <v>8</v>
      </c>
      <c r="K33" s="123" t="s">
        <v>65</v>
      </c>
      <c r="L33" s="123" t="s">
        <v>66</v>
      </c>
    </row>
    <row r="34" spans="2:12" ht="12" customHeight="1">
      <c r="B34" s="122"/>
      <c r="C34" s="123" t="s">
        <v>109</v>
      </c>
      <c r="D34" s="123" t="s">
        <v>109</v>
      </c>
      <c r="E34" s="123" t="s">
        <v>109</v>
      </c>
      <c r="F34" s="123" t="s">
        <v>110</v>
      </c>
      <c r="G34" s="123" t="s">
        <v>110</v>
      </c>
      <c r="H34" s="123" t="s">
        <v>110</v>
      </c>
      <c r="I34" s="123" t="s">
        <v>110</v>
      </c>
      <c r="J34" s="123" t="s">
        <v>109</v>
      </c>
      <c r="K34" s="123" t="s">
        <v>109</v>
      </c>
      <c r="L34" s="123" t="s">
        <v>110</v>
      </c>
    </row>
    <row r="35" spans="2:12" ht="12" customHeight="1">
      <c r="B35" s="122" t="s">
        <v>131</v>
      </c>
      <c r="C35" s="124">
        <f>C9+C18+C27</f>
        <v>0.10406531999999999</v>
      </c>
      <c r="D35" s="124">
        <f t="shared" ref="D35:L35" si="0">D9+D18+D27</f>
        <v>4.6829393999999996E-2</v>
      </c>
      <c r="E35" s="125">
        <f t="shared" si="0"/>
        <v>1.5806141999999999</v>
      </c>
      <c r="F35" s="126">
        <f t="shared" si="0"/>
        <v>14.792399999999999</v>
      </c>
      <c r="G35" s="125">
        <f t="shared" si="0"/>
        <v>5.9169600000000004</v>
      </c>
      <c r="H35" s="126">
        <f t="shared" si="0"/>
        <v>36.106103999999995</v>
      </c>
      <c r="I35" s="126">
        <f t="shared" si="0"/>
        <v>12.637136399999999</v>
      </c>
      <c r="J35" s="126">
        <f t="shared" si="0"/>
        <v>40.115832000000005</v>
      </c>
      <c r="K35" s="124">
        <f t="shared" si="0"/>
        <v>0.25973279999999999</v>
      </c>
      <c r="L35" s="125">
        <f t="shared" si="0"/>
        <v>0.81917700000000004</v>
      </c>
    </row>
    <row r="36" spans="2:12" ht="12" customHeight="1">
      <c r="B36" s="280" t="s">
        <v>114</v>
      </c>
      <c r="C36" s="280"/>
      <c r="D36" s="280"/>
      <c r="E36" s="280"/>
      <c r="F36" s="280"/>
      <c r="G36" s="280"/>
      <c r="H36" s="280"/>
      <c r="I36" s="280"/>
      <c r="J36" s="280"/>
      <c r="K36" s="280"/>
      <c r="L36" s="280"/>
    </row>
    <row r="37" spans="2:12" ht="12" customHeight="1">
      <c r="B37" s="122" t="s">
        <v>115</v>
      </c>
      <c r="C37" s="119">
        <f>Reningsgrader!C11</f>
        <v>65</v>
      </c>
      <c r="D37" s="119">
        <f>Reningsgrader!D11</f>
        <v>25</v>
      </c>
      <c r="E37" s="119">
        <f>Reningsgrader!E11</f>
        <v>40</v>
      </c>
      <c r="F37" s="119">
        <f>Reningsgrader!F11</f>
        <v>65</v>
      </c>
      <c r="G37" s="119">
        <f>Reningsgrader!G11</f>
        <v>40</v>
      </c>
      <c r="H37" s="119">
        <f>Reningsgrader!H11</f>
        <v>85</v>
      </c>
      <c r="I37" s="119">
        <f>Reningsgrader!I11</f>
        <v>70</v>
      </c>
      <c r="J37" s="119">
        <f>Reningsgrader!J11</f>
        <v>80</v>
      </c>
      <c r="K37" s="119">
        <f>Reningsgrader!K11</f>
        <v>80</v>
      </c>
      <c r="L37" s="119">
        <f>Reningsgrader!L11</f>
        <v>85</v>
      </c>
    </row>
    <row r="38" spans="2:12" ht="12" customHeight="1">
      <c r="B38" s="122" t="s">
        <v>116</v>
      </c>
      <c r="C38" s="124">
        <f>C35-(0.9*C35*C37/100)</f>
        <v>4.3187107799999992E-2</v>
      </c>
      <c r="D38" s="124">
        <f t="shared" ref="D38:L38" si="1">D35-(0.9*D35*D37/100)</f>
        <v>3.6292780349999998E-2</v>
      </c>
      <c r="E38" s="125">
        <f t="shared" si="1"/>
        <v>1.0115930879999997</v>
      </c>
      <c r="F38" s="125">
        <f t="shared" si="1"/>
        <v>6.1388459999999991</v>
      </c>
      <c r="G38" s="125">
        <f t="shared" si="1"/>
        <v>3.7868544000000002</v>
      </c>
      <c r="H38" s="126">
        <f t="shared" si="1"/>
        <v>8.4849344399999964</v>
      </c>
      <c r="I38" s="125">
        <f t="shared" si="1"/>
        <v>4.675740467999999</v>
      </c>
      <c r="J38" s="126">
        <f t="shared" si="1"/>
        <v>11.232432960000001</v>
      </c>
      <c r="K38" s="124">
        <f t="shared" si="1"/>
        <v>7.2725183999999998E-2</v>
      </c>
      <c r="L38" s="125">
        <f t="shared" si="1"/>
        <v>0.192506595</v>
      </c>
    </row>
    <row r="42" spans="2:12" ht="12" customHeight="1" thickBot="1"/>
    <row r="43" spans="2:12" ht="12" customHeight="1" thickTop="1">
      <c r="B43" s="133" t="s">
        <v>117</v>
      </c>
      <c r="C43" s="134"/>
      <c r="D43" s="134"/>
      <c r="E43" s="134"/>
      <c r="F43" s="134"/>
      <c r="G43" s="134"/>
      <c r="H43" s="134"/>
      <c r="I43" s="134"/>
      <c r="J43" s="134"/>
      <c r="K43" s="134" t="s">
        <v>147</v>
      </c>
      <c r="L43" s="255">
        <f>(C6*L5+C15*L14+C24*L23)/C44</f>
        <v>0.58370024570024581</v>
      </c>
    </row>
    <row r="44" spans="2:12" ht="12" customHeight="1">
      <c r="B44" s="135" t="s">
        <v>108</v>
      </c>
      <c r="C44" s="136">
        <f>C6+C15+C24</f>
        <v>2035</v>
      </c>
      <c r="D44" s="136" t="s">
        <v>111</v>
      </c>
      <c r="E44" s="77"/>
      <c r="F44" s="77"/>
      <c r="G44" s="77"/>
      <c r="H44" s="77"/>
      <c r="I44" s="77"/>
      <c r="J44" s="77"/>
      <c r="K44" s="77"/>
      <c r="L44" s="137"/>
    </row>
    <row r="45" spans="2:12" ht="12" customHeight="1">
      <c r="B45" s="138"/>
      <c r="C45" s="129" t="s">
        <v>67</v>
      </c>
      <c r="D45" s="129" t="s">
        <v>68</v>
      </c>
      <c r="E45" s="129" t="s">
        <v>69</v>
      </c>
      <c r="F45" s="129" t="s">
        <v>70</v>
      </c>
      <c r="G45" s="129" t="s">
        <v>71</v>
      </c>
      <c r="H45" s="129" t="s">
        <v>72</v>
      </c>
      <c r="I45" s="129" t="s">
        <v>73</v>
      </c>
      <c r="J45" s="129" t="s">
        <v>8</v>
      </c>
      <c r="K45" s="129" t="s">
        <v>65</v>
      </c>
      <c r="L45" s="139" t="s">
        <v>66</v>
      </c>
    </row>
    <row r="46" spans="2:12" ht="12" customHeight="1">
      <c r="B46" s="138"/>
      <c r="C46" s="129" t="s">
        <v>109</v>
      </c>
      <c r="D46" s="129" t="s">
        <v>109</v>
      </c>
      <c r="E46" s="129" t="s">
        <v>109</v>
      </c>
      <c r="F46" s="129" t="s">
        <v>110</v>
      </c>
      <c r="G46" s="129" t="s">
        <v>110</v>
      </c>
      <c r="H46" s="129" t="s">
        <v>110</v>
      </c>
      <c r="I46" s="129" t="s">
        <v>110</v>
      </c>
      <c r="J46" s="129" t="s">
        <v>109</v>
      </c>
      <c r="K46" s="129" t="s">
        <v>109</v>
      </c>
      <c r="L46" s="139" t="s">
        <v>110</v>
      </c>
    </row>
    <row r="47" spans="2:12" ht="12" customHeight="1">
      <c r="B47" s="138" t="s">
        <v>96</v>
      </c>
      <c r="C47" s="144">
        <f>C38</f>
        <v>4.3187107799999992E-2</v>
      </c>
      <c r="D47" s="144">
        <f t="shared" ref="D47:L47" si="2">D38</f>
        <v>3.6292780349999998E-2</v>
      </c>
      <c r="E47" s="145">
        <f t="shared" si="2"/>
        <v>1.0115930879999997</v>
      </c>
      <c r="F47" s="145">
        <f t="shared" si="2"/>
        <v>6.1388459999999991</v>
      </c>
      <c r="G47" s="145">
        <f t="shared" si="2"/>
        <v>3.7868544000000002</v>
      </c>
      <c r="H47" s="146">
        <f t="shared" si="2"/>
        <v>8.4849344399999964</v>
      </c>
      <c r="I47" s="145">
        <f t="shared" si="2"/>
        <v>4.675740467999999</v>
      </c>
      <c r="J47" s="146">
        <f t="shared" si="2"/>
        <v>11.232432960000001</v>
      </c>
      <c r="K47" s="144">
        <f t="shared" si="2"/>
        <v>7.2725183999999998E-2</v>
      </c>
      <c r="L47" s="147">
        <f t="shared" si="2"/>
        <v>0.192506595</v>
      </c>
    </row>
    <row r="48" spans="2:12" ht="12" customHeight="1">
      <c r="B48" s="138" t="s">
        <v>118</v>
      </c>
      <c r="C48" s="144">
        <f>C47*(10000/$C$44)</f>
        <v>0.2122216599508599</v>
      </c>
      <c r="D48" s="144">
        <f t="shared" ref="D48:L48" si="3">D47*(10000/$C$44)</f>
        <v>0.17834290098280098</v>
      </c>
      <c r="E48" s="145">
        <f t="shared" si="3"/>
        <v>4.9709734054054033</v>
      </c>
      <c r="F48" s="146">
        <f t="shared" si="3"/>
        <v>30.166319410319403</v>
      </c>
      <c r="G48" s="145">
        <f t="shared" si="3"/>
        <v>18.608621130221131</v>
      </c>
      <c r="H48" s="146">
        <f t="shared" si="3"/>
        <v>41.695009533169511</v>
      </c>
      <c r="I48" s="146">
        <f t="shared" si="3"/>
        <v>22.976611636363632</v>
      </c>
      <c r="J48" s="146">
        <f t="shared" si="3"/>
        <v>55.196230761670762</v>
      </c>
      <c r="K48" s="144">
        <f t="shared" si="3"/>
        <v>0.35737191154791154</v>
      </c>
      <c r="L48" s="147">
        <f t="shared" si="3"/>
        <v>0.94597835380835382</v>
      </c>
    </row>
    <row r="49" spans="2:12" ht="12" customHeight="1">
      <c r="B49" s="281" t="s">
        <v>119</v>
      </c>
      <c r="C49" s="129" t="s">
        <v>120</v>
      </c>
      <c r="D49" s="129" t="s">
        <v>120</v>
      </c>
      <c r="E49" s="129" t="s">
        <v>120</v>
      </c>
      <c r="F49" s="129" t="s">
        <v>121</v>
      </c>
      <c r="G49" s="129" t="s">
        <v>121</v>
      </c>
      <c r="H49" s="129" t="s">
        <v>121</v>
      </c>
      <c r="I49" s="129" t="s">
        <v>121</v>
      </c>
      <c r="J49" s="129" t="s">
        <v>120</v>
      </c>
      <c r="K49" s="129" t="s">
        <v>120</v>
      </c>
      <c r="L49" s="139" t="s">
        <v>121</v>
      </c>
    </row>
    <row r="50" spans="2:12" ht="12" customHeight="1" thickBot="1">
      <c r="B50" s="282"/>
      <c r="C50" s="140">
        <f>C48*100/(Intro!$B$11*$L$43)</f>
        <v>6.0596645142823445E-2</v>
      </c>
      <c r="D50" s="140">
        <f>D48*100/(Intro!$B$11*$L$43)</f>
        <v>5.0923084321830549E-2</v>
      </c>
      <c r="E50" s="140">
        <f>E48*100/(Intro!$B$11*$L$43)</f>
        <v>1.4193853329180093</v>
      </c>
      <c r="F50" s="140">
        <f>F48*100/(Intro!$B$11*$L$43)</f>
        <v>8.6135305557192492</v>
      </c>
      <c r="G50" s="140">
        <f>G48*100/(Intro!$B$11*$L$43)</f>
        <v>5.3134068006364537</v>
      </c>
      <c r="H50" s="140">
        <f>H48*100/(Intro!$B$11*$L$43)</f>
        <v>11.905371475716214</v>
      </c>
      <c r="I50" s="140">
        <f>I48*100/(Intro!$B$11*$L$43)</f>
        <v>6.5606196004478727</v>
      </c>
      <c r="J50" s="140">
        <f>J48*100/(Intro!$B$11*$L$43)</f>
        <v>15.760438446579052</v>
      </c>
      <c r="K50" s="140">
        <f>K48*100/(Intro!$B$11*$L$43)</f>
        <v>0.10204207672815131</v>
      </c>
      <c r="L50" s="257">
        <f>L48*100/(Intro!$B$11*$L$43)</f>
        <v>0.2701096326915467</v>
      </c>
    </row>
    <row r="51" spans="2:12" ht="12" customHeight="1" thickTop="1"/>
    <row r="52" spans="2:12" ht="12" hidden="1" customHeight="1">
      <c r="B52" s="2" t="s">
        <v>122</v>
      </c>
    </row>
    <row r="53" spans="2:12" ht="12" hidden="1" customHeight="1">
      <c r="B53" s="1" t="s">
        <v>123</v>
      </c>
      <c r="C53" s="92">
        <f>(C6*Arealläckage!D47+Arealläckage!D61*'1b'!C15+'1b'!C24*Arealläckage!D9)/'1b'!C44</f>
        <v>0.58370024570024581</v>
      </c>
    </row>
    <row r="54" spans="2:12" ht="12" hidden="1" customHeight="1">
      <c r="B54" s="1" t="s">
        <v>124</v>
      </c>
      <c r="C54" s="94">
        <f>C53*600</f>
        <v>350.2201474201475</v>
      </c>
      <c r="D54" s="93" t="s">
        <v>101</v>
      </c>
    </row>
    <row r="55" spans="2:12" ht="12" hidden="1" customHeight="1">
      <c r="C55" s="181">
        <f>C54*10000</f>
        <v>3502201.4742014748</v>
      </c>
      <c r="D55" s="93" t="s">
        <v>125</v>
      </c>
    </row>
  </sheetData>
  <mergeCells count="2">
    <mergeCell ref="B49:B50"/>
    <mergeCell ref="B36:L36"/>
  </mergeCells>
  <phoneticPr fontId="20" type="noConversion"/>
  <pageMargins left="0.70000000000000007" right="0.70000000000000007" top="0.75000000000000011" bottom="0.75000000000000011" header="0.30000000000000004" footer="0.30000000000000004"/>
  <pageSetup paperSize="9" orientation="landscape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78"/>
  <sheetViews>
    <sheetView view="pageLayout" zoomScale="90" zoomScaleNormal="90" zoomScalePageLayoutView="90" workbookViewId="0">
      <selection activeCell="R65" sqref="R65"/>
    </sheetView>
  </sheetViews>
  <sheetFormatPr baseColWidth="10" defaultColWidth="8.83203125" defaultRowHeight="12" customHeight="1" x14ac:dyDescent="0"/>
  <cols>
    <col min="1" max="1" width="5.33203125" style="1" customWidth="1"/>
    <col min="2" max="2" width="20" style="1" customWidth="1"/>
    <col min="3" max="3" width="9.1640625" style="93" customWidth="1"/>
    <col min="4" max="12" width="8.83203125" style="93"/>
    <col min="13" max="16384" width="8.83203125" style="1"/>
  </cols>
  <sheetData>
    <row r="2" spans="2:12" ht="12" customHeight="1">
      <c r="B2" s="90" t="s">
        <v>133</v>
      </c>
    </row>
    <row r="4" spans="2:12" ht="12" customHeight="1">
      <c r="B4" s="159" t="s">
        <v>127</v>
      </c>
      <c r="C4" s="158"/>
      <c r="D4" s="158"/>
      <c r="E4" s="158"/>
      <c r="F4" s="158"/>
      <c r="G4" s="158"/>
      <c r="H4" s="158"/>
      <c r="I4" s="158"/>
      <c r="J4" s="158"/>
      <c r="K4" s="158" t="s">
        <v>147</v>
      </c>
      <c r="L4" s="162">
        <f>Arealläckage!D61</f>
        <v>0.8</v>
      </c>
    </row>
    <row r="5" spans="2:12" ht="12" customHeight="1">
      <c r="B5" s="160" t="s">
        <v>108</v>
      </c>
      <c r="C5" s="157">
        <v>232</v>
      </c>
      <c r="D5" s="157" t="s">
        <v>111</v>
      </c>
      <c r="E5" s="158"/>
      <c r="F5" s="158"/>
      <c r="G5" s="158"/>
      <c r="H5" s="158"/>
      <c r="I5" s="158"/>
      <c r="J5" s="158"/>
      <c r="K5" s="158"/>
      <c r="L5" s="158"/>
    </row>
    <row r="6" spans="2:12" ht="12" customHeight="1">
      <c r="B6" s="161"/>
      <c r="C6" s="97" t="s">
        <v>67</v>
      </c>
      <c r="D6" s="97" t="s">
        <v>68</v>
      </c>
      <c r="E6" s="97" t="s">
        <v>69</v>
      </c>
      <c r="F6" s="97" t="s">
        <v>70</v>
      </c>
      <c r="G6" s="97" t="s">
        <v>71</v>
      </c>
      <c r="H6" s="97" t="s">
        <v>72</v>
      </c>
      <c r="I6" s="97" t="s">
        <v>73</v>
      </c>
      <c r="J6" s="97" t="s">
        <v>8</v>
      </c>
      <c r="K6" s="97" t="s">
        <v>65</v>
      </c>
      <c r="L6" s="97" t="s">
        <v>66</v>
      </c>
    </row>
    <row r="7" spans="2:12" ht="12" customHeight="1">
      <c r="B7" s="161"/>
      <c r="C7" s="97" t="s">
        <v>109</v>
      </c>
      <c r="D7" s="97" t="s">
        <v>109</v>
      </c>
      <c r="E7" s="97" t="s">
        <v>109</v>
      </c>
      <c r="F7" s="97" t="s">
        <v>110</v>
      </c>
      <c r="G7" s="97" t="s">
        <v>110</v>
      </c>
      <c r="H7" s="97" t="s">
        <v>110</v>
      </c>
      <c r="I7" s="97" t="s">
        <v>110</v>
      </c>
      <c r="J7" s="97" t="s">
        <v>109</v>
      </c>
      <c r="K7" s="97" t="s">
        <v>109</v>
      </c>
      <c r="L7" s="97" t="s">
        <v>110</v>
      </c>
    </row>
    <row r="8" spans="2:12" ht="12" customHeight="1">
      <c r="B8" s="161" t="s">
        <v>96</v>
      </c>
      <c r="C8" s="162">
        <f>($C$5/10000)*Arealläckage!O61</f>
        <v>1.1135999999999998E-2</v>
      </c>
      <c r="D8" s="162">
        <f>($C$5/10000)*Arealläckage!P61</f>
        <v>5.0111999999999995E-3</v>
      </c>
      <c r="E8" s="163">
        <f>($C$5/10000)*Arealläckage!Q61</f>
        <v>0.21158399999999997</v>
      </c>
      <c r="F8" s="163">
        <f>($C$5/10000)*Arealläckage!R61</f>
        <v>1.7817599999999998</v>
      </c>
      <c r="G8" s="163">
        <f>($C$5/10000)*Arealläckage!S61</f>
        <v>0.71270399999999989</v>
      </c>
      <c r="H8" s="163">
        <f>($C$5/10000)*Arealläckage!T61</f>
        <v>3.2294399999999994</v>
      </c>
      <c r="I8" s="163">
        <f>($C$5/10000)*Arealläckage!U61</f>
        <v>1.1303039999999998</v>
      </c>
      <c r="J8" s="164">
        <f>($C$5/10000)*Arealläckage!V61</f>
        <v>4.56576</v>
      </c>
      <c r="K8" s="162">
        <f>($C$5/10000)*Arealläckage!W61</f>
        <v>4.0089599999999989E-2</v>
      </c>
      <c r="L8" s="163">
        <f>($C$5/10000)*Arealläckage!X61</f>
        <v>6.7929599999999993E-2</v>
      </c>
    </row>
    <row r="9" spans="2:12" ht="12" customHeight="1">
      <c r="C9" s="1"/>
      <c r="D9" s="1"/>
      <c r="E9" s="1"/>
      <c r="F9" s="1"/>
      <c r="G9" s="1"/>
      <c r="H9" s="1"/>
      <c r="I9" s="1"/>
      <c r="J9" s="1"/>
      <c r="K9" s="1"/>
      <c r="L9" s="1"/>
    </row>
    <row r="10" spans="2:12" ht="12" customHeight="1"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12" customHeight="1"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2:12" ht="12" customHeight="1"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12" customHeight="1">
      <c r="B13" s="118" t="s">
        <v>113</v>
      </c>
      <c r="C13" s="119"/>
      <c r="D13" s="119"/>
      <c r="E13" s="119"/>
      <c r="F13" s="119"/>
      <c r="G13" s="119"/>
      <c r="H13" s="119"/>
      <c r="I13" s="119"/>
      <c r="J13" s="119"/>
      <c r="K13" s="119" t="s">
        <v>147</v>
      </c>
      <c r="L13" s="124">
        <v>0.3</v>
      </c>
    </row>
    <row r="14" spans="2:12" ht="12" customHeight="1">
      <c r="B14" s="120" t="s">
        <v>108</v>
      </c>
      <c r="C14" s="121">
        <v>270</v>
      </c>
      <c r="D14" s="121" t="s">
        <v>111</v>
      </c>
      <c r="E14" s="119"/>
      <c r="F14" s="119"/>
      <c r="G14" s="119"/>
      <c r="H14" s="119"/>
      <c r="I14" s="119"/>
      <c r="J14" s="119"/>
      <c r="K14" s="119"/>
      <c r="L14" s="119"/>
    </row>
    <row r="15" spans="2:12" ht="12" customHeight="1">
      <c r="B15" s="122"/>
      <c r="C15" s="123" t="s">
        <v>67</v>
      </c>
      <c r="D15" s="123" t="s">
        <v>68</v>
      </c>
      <c r="E15" s="123" t="s">
        <v>69</v>
      </c>
      <c r="F15" s="123" t="s">
        <v>70</v>
      </c>
      <c r="G15" s="123" t="s">
        <v>71</v>
      </c>
      <c r="H15" s="123" t="s">
        <v>72</v>
      </c>
      <c r="I15" s="123" t="s">
        <v>73</v>
      </c>
      <c r="J15" s="123" t="s">
        <v>8</v>
      </c>
      <c r="K15" s="123" t="s">
        <v>65</v>
      </c>
      <c r="L15" s="123" t="s">
        <v>66</v>
      </c>
    </row>
    <row r="16" spans="2:12" ht="12" customHeight="1">
      <c r="B16" s="122"/>
      <c r="C16" s="123" t="s">
        <v>109</v>
      </c>
      <c r="D16" s="123" t="s">
        <v>109</v>
      </c>
      <c r="E16" s="123" t="s">
        <v>109</v>
      </c>
      <c r="F16" s="123" t="s">
        <v>110</v>
      </c>
      <c r="G16" s="123" t="s">
        <v>110</v>
      </c>
      <c r="H16" s="123" t="s">
        <v>110</v>
      </c>
      <c r="I16" s="123" t="s">
        <v>110</v>
      </c>
      <c r="J16" s="123" t="s">
        <v>109</v>
      </c>
      <c r="K16" s="123" t="s">
        <v>109</v>
      </c>
      <c r="L16" s="123" t="s">
        <v>110</v>
      </c>
    </row>
    <row r="17" spans="2:12" ht="12" customHeight="1">
      <c r="B17" s="122" t="s">
        <v>96</v>
      </c>
      <c r="C17" s="124">
        <f>$C$14/10000*Arealläckage!O62</f>
        <v>5.1840000000000002E-3</v>
      </c>
      <c r="D17" s="124">
        <f>$C$14/10000*Arealläckage!P62</f>
        <v>2.3327999999999999E-3</v>
      </c>
      <c r="E17" s="125">
        <f>$C$14/10000*Arealläckage!Q62</f>
        <v>0.29160000000000003</v>
      </c>
      <c r="F17" s="125">
        <f>$C$14/10000*Arealläckage!R62</f>
        <v>0.37260000000000004</v>
      </c>
      <c r="G17" s="125">
        <f>$C$14/10000*Arealläckage!S62</f>
        <v>0.14904000000000001</v>
      </c>
      <c r="H17" s="125">
        <f>$C$14/10000*Arealläckage!T62</f>
        <v>1.377</v>
      </c>
      <c r="I17" s="125">
        <f>$C$14/10000*Arealläckage!U62</f>
        <v>0.48194999999999993</v>
      </c>
      <c r="J17" s="126">
        <f>$C$14/10000*Arealläckage!V62</f>
        <v>0</v>
      </c>
      <c r="K17" s="124">
        <f>$C$14/10000*Arealläckage!W62</f>
        <v>0</v>
      </c>
      <c r="L17" s="125">
        <f>$C$14/10000*Arealläckage!X62</f>
        <v>1.1340000000000003E-2</v>
      </c>
    </row>
    <row r="18" spans="2:12" ht="12" customHeight="1">
      <c r="B18" s="122" t="s">
        <v>131</v>
      </c>
      <c r="C18" s="124">
        <f>C8</f>
        <v>1.1135999999999998E-2</v>
      </c>
      <c r="D18" s="124">
        <f t="shared" ref="D18:L18" si="0">D8</f>
        <v>5.0111999999999995E-3</v>
      </c>
      <c r="E18" s="125">
        <f t="shared" si="0"/>
        <v>0.21158399999999997</v>
      </c>
      <c r="F18" s="125">
        <f t="shared" si="0"/>
        <v>1.7817599999999998</v>
      </c>
      <c r="G18" s="125">
        <f t="shared" si="0"/>
        <v>0.71270399999999989</v>
      </c>
      <c r="H18" s="125">
        <f t="shared" si="0"/>
        <v>3.2294399999999994</v>
      </c>
      <c r="I18" s="125">
        <f t="shared" si="0"/>
        <v>1.1303039999999998</v>
      </c>
      <c r="J18" s="126">
        <f t="shared" si="0"/>
        <v>4.56576</v>
      </c>
      <c r="K18" s="124">
        <f t="shared" si="0"/>
        <v>4.0089599999999989E-2</v>
      </c>
      <c r="L18" s="125">
        <f t="shared" si="0"/>
        <v>6.7929599999999993E-2</v>
      </c>
    </row>
    <row r="19" spans="2:12" ht="12" customHeight="1">
      <c r="B19" s="280" t="s">
        <v>114</v>
      </c>
      <c r="C19" s="280"/>
      <c r="D19" s="280"/>
      <c r="E19" s="280"/>
      <c r="F19" s="280"/>
      <c r="G19" s="280"/>
      <c r="H19" s="280"/>
      <c r="I19" s="280"/>
      <c r="J19" s="280"/>
      <c r="K19" s="280"/>
      <c r="L19" s="280"/>
    </row>
    <row r="20" spans="2:12" ht="12" customHeight="1">
      <c r="B20" s="122" t="s">
        <v>115</v>
      </c>
      <c r="C20" s="119">
        <f>Reningsgrader!C13</f>
        <v>65</v>
      </c>
      <c r="D20" s="119">
        <f>Reningsgrader!D13</f>
        <v>25</v>
      </c>
      <c r="E20" s="119">
        <f>Reningsgrader!E13</f>
        <v>40</v>
      </c>
      <c r="F20" s="119">
        <f>Reningsgrader!F13</f>
        <v>65</v>
      </c>
      <c r="G20" s="119">
        <f>Reningsgrader!G13</f>
        <v>40</v>
      </c>
      <c r="H20" s="119">
        <f>Reningsgrader!H13</f>
        <v>85</v>
      </c>
      <c r="I20" s="119">
        <f>Reningsgrader!I13</f>
        <v>70</v>
      </c>
      <c r="J20" s="119">
        <f>Reningsgrader!J13</f>
        <v>80</v>
      </c>
      <c r="K20" s="119">
        <f>Reningsgrader!K13</f>
        <v>80</v>
      </c>
      <c r="L20" s="119">
        <f>Reningsgrader!L13</f>
        <v>85</v>
      </c>
    </row>
    <row r="21" spans="2:12" ht="12" customHeight="1">
      <c r="B21" s="122" t="s">
        <v>116</v>
      </c>
      <c r="C21" s="124">
        <f>(C17+C18)-(C20/100*0.9*(C17+C18))</f>
        <v>6.7727999999999972E-3</v>
      </c>
      <c r="D21" s="124">
        <f t="shared" ref="D21:L21" si="1">(D17+D18)-(D20/100*0.9*(D17+D18))</f>
        <v>5.6915999999999998E-3</v>
      </c>
      <c r="E21" s="125">
        <f t="shared" si="1"/>
        <v>0.32203775999999995</v>
      </c>
      <c r="F21" s="125">
        <f t="shared" si="1"/>
        <v>0.89405939999999973</v>
      </c>
      <c r="G21" s="125">
        <f t="shared" si="1"/>
        <v>0.55151615999999981</v>
      </c>
      <c r="H21" s="125">
        <f t="shared" si="1"/>
        <v>1.0825133999999998</v>
      </c>
      <c r="I21" s="125">
        <f t="shared" si="1"/>
        <v>0.5965339799999998</v>
      </c>
      <c r="J21" s="126">
        <f>(J17+J18)-(J20/100*0.9*(J17+J18))</f>
        <v>1.2784127999999995</v>
      </c>
      <c r="K21" s="124">
        <f t="shared" si="1"/>
        <v>1.1225087999999994E-2</v>
      </c>
      <c r="L21" s="125">
        <f t="shared" si="1"/>
        <v>1.8628355999999999E-2</v>
      </c>
    </row>
    <row r="22" spans="2:12" ht="12" customHeight="1">
      <c r="B22" s="3"/>
      <c r="C22" s="130"/>
      <c r="D22" s="130"/>
      <c r="E22" s="131"/>
      <c r="F22" s="132"/>
      <c r="G22" s="131"/>
      <c r="H22" s="132"/>
      <c r="I22" s="132"/>
      <c r="J22" s="132"/>
      <c r="K22" s="130"/>
      <c r="L22" s="131"/>
    </row>
    <row r="23" spans="2:12" ht="12" customHeight="1">
      <c r="B23" s="3"/>
      <c r="C23" s="130"/>
      <c r="D23" s="130"/>
      <c r="E23" s="131"/>
      <c r="F23" s="132"/>
      <c r="G23" s="131"/>
      <c r="H23" s="132"/>
      <c r="I23" s="132"/>
      <c r="J23" s="132"/>
      <c r="K23" s="130"/>
      <c r="L23" s="131"/>
    </row>
    <row r="24" spans="2:12" ht="12" customHeight="1">
      <c r="B24" s="3"/>
      <c r="C24" s="130"/>
      <c r="D24" s="130"/>
      <c r="E24" s="131"/>
      <c r="F24" s="132"/>
      <c r="G24" s="131"/>
      <c r="H24" s="132"/>
      <c r="I24" s="132"/>
      <c r="J24" s="132"/>
      <c r="K24" s="130"/>
      <c r="L24" s="131"/>
    </row>
    <row r="25" spans="2:12" ht="12" customHeight="1" thickBot="1">
      <c r="B25" s="3"/>
      <c r="C25" s="130"/>
      <c r="D25" s="130"/>
      <c r="E25" s="131"/>
      <c r="F25" s="132"/>
      <c r="G25" s="131"/>
      <c r="H25" s="132"/>
      <c r="I25" s="132"/>
      <c r="J25" s="132"/>
      <c r="K25" s="130"/>
      <c r="L25" s="131"/>
    </row>
    <row r="26" spans="2:12" ht="12" customHeight="1" thickTop="1">
      <c r="B26" s="166" t="s">
        <v>134</v>
      </c>
      <c r="C26" s="167"/>
      <c r="D26" s="167"/>
      <c r="E26" s="167"/>
      <c r="F26" s="167"/>
      <c r="G26" s="167"/>
      <c r="H26" s="167"/>
      <c r="I26" s="167"/>
      <c r="J26" s="167"/>
      <c r="K26" s="167" t="s">
        <v>147</v>
      </c>
      <c r="L26" s="258">
        <f>Arealläckage!D10</f>
        <v>0.31</v>
      </c>
    </row>
    <row r="27" spans="2:12" ht="12" customHeight="1">
      <c r="B27" s="168" t="s">
        <v>108</v>
      </c>
      <c r="C27" s="169">
        <v>775</v>
      </c>
      <c r="D27" s="169" t="s">
        <v>111</v>
      </c>
      <c r="E27" s="170"/>
      <c r="F27" s="170"/>
      <c r="G27" s="170"/>
      <c r="H27" s="170"/>
      <c r="I27" s="170"/>
      <c r="J27" s="170"/>
      <c r="K27" s="170"/>
      <c r="L27" s="171"/>
    </row>
    <row r="28" spans="2:12" ht="12" customHeight="1">
      <c r="B28" s="172"/>
      <c r="C28" s="165" t="s">
        <v>67</v>
      </c>
      <c r="D28" s="165" t="s">
        <v>68</v>
      </c>
      <c r="E28" s="165" t="s">
        <v>69</v>
      </c>
      <c r="F28" s="165" t="s">
        <v>70</v>
      </c>
      <c r="G28" s="165" t="s">
        <v>71</v>
      </c>
      <c r="H28" s="165" t="s">
        <v>72</v>
      </c>
      <c r="I28" s="165" t="s">
        <v>73</v>
      </c>
      <c r="J28" s="165" t="s">
        <v>8</v>
      </c>
      <c r="K28" s="165" t="s">
        <v>65</v>
      </c>
      <c r="L28" s="173" t="s">
        <v>66</v>
      </c>
    </row>
    <row r="29" spans="2:12" ht="12" customHeight="1">
      <c r="B29" s="172"/>
      <c r="C29" s="165" t="s">
        <v>109</v>
      </c>
      <c r="D29" s="165" t="s">
        <v>109</v>
      </c>
      <c r="E29" s="165" t="s">
        <v>109</v>
      </c>
      <c r="F29" s="165" t="s">
        <v>110</v>
      </c>
      <c r="G29" s="165" t="s">
        <v>110</v>
      </c>
      <c r="H29" s="165" t="s">
        <v>110</v>
      </c>
      <c r="I29" s="165" t="s">
        <v>110</v>
      </c>
      <c r="J29" s="165" t="s">
        <v>109</v>
      </c>
      <c r="K29" s="165" t="s">
        <v>109</v>
      </c>
      <c r="L29" s="173" t="s">
        <v>110</v>
      </c>
    </row>
    <row r="30" spans="2:12" ht="12" customHeight="1" thickBot="1">
      <c r="B30" s="174" t="s">
        <v>96</v>
      </c>
      <c r="C30" s="175">
        <f>($C$27/10000)*Arealläckage!O10</f>
        <v>4.18035E-2</v>
      </c>
      <c r="D30" s="175">
        <f>($C$27/10000)*Arealläckage!P10</f>
        <v>1.8811575000000001E-2</v>
      </c>
      <c r="E30" s="176">
        <f>($C$27/10000)*Arealläckage!Q10</f>
        <v>0.56218499999999993</v>
      </c>
      <c r="F30" s="176">
        <f>($C$27/10000)*Arealläckage!R10</f>
        <v>2.1622499999999998</v>
      </c>
      <c r="G30" s="176">
        <f>($C$27/10000)*Arealläckage!S10</f>
        <v>0.8649</v>
      </c>
      <c r="H30" s="176">
        <f>($C$27/10000)*Arealläckage!T10</f>
        <v>3.3154500000000002</v>
      </c>
      <c r="I30" s="176">
        <f>($C$27/10000)*Arealläckage!U10</f>
        <v>1.1604074999999998</v>
      </c>
      <c r="J30" s="177">
        <f>($C$27/10000)*Arealläckage!V10</f>
        <v>2.7388500000000002</v>
      </c>
      <c r="K30" s="175">
        <f>($C$27/10000)*Arealläckage!W10</f>
        <v>0</v>
      </c>
      <c r="L30" s="183">
        <f>($C$27/10000)*Arealläckage!X10</f>
        <v>0.27388499999999999</v>
      </c>
    </row>
    <row r="31" spans="2:12" ht="12" customHeight="1" thickTop="1">
      <c r="B31" s="3"/>
      <c r="C31" s="130"/>
      <c r="D31" s="130"/>
      <c r="E31" s="131"/>
      <c r="F31" s="132"/>
      <c r="G31" s="131"/>
      <c r="H31" s="132"/>
      <c r="I31" s="132"/>
      <c r="J31" s="132"/>
      <c r="K31" s="130"/>
      <c r="L31" s="131"/>
    </row>
    <row r="32" spans="2:12" ht="12" customHeight="1">
      <c r="B32" s="3"/>
      <c r="C32" s="130"/>
      <c r="D32" s="130"/>
      <c r="E32" s="131"/>
      <c r="F32" s="132"/>
      <c r="G32" s="131"/>
      <c r="H32" s="132"/>
      <c r="I32" s="132"/>
      <c r="J32" s="132"/>
      <c r="K32" s="130"/>
      <c r="L32" s="131"/>
    </row>
    <row r="33" spans="2:12" ht="12" customHeight="1">
      <c r="B33" s="70"/>
      <c r="C33" s="72"/>
      <c r="D33" s="72"/>
      <c r="E33" s="72"/>
      <c r="F33" s="72"/>
      <c r="G33" s="72"/>
      <c r="H33" s="72"/>
      <c r="I33" s="72"/>
      <c r="J33" s="72"/>
      <c r="K33" s="72"/>
      <c r="L33" s="72"/>
    </row>
    <row r="34" spans="2:12" ht="12" customHeight="1" thickBot="1">
      <c r="B34" s="127"/>
      <c r="C34" s="128"/>
      <c r="D34" s="128"/>
      <c r="E34" s="72"/>
      <c r="F34" s="72"/>
      <c r="G34" s="72"/>
      <c r="H34" s="72"/>
      <c r="I34" s="72"/>
      <c r="J34" s="72"/>
      <c r="K34" s="72"/>
      <c r="L34" s="72"/>
    </row>
    <row r="35" spans="2:12" ht="12" customHeight="1" thickTop="1">
      <c r="B35" s="184" t="s">
        <v>128</v>
      </c>
      <c r="C35" s="185"/>
      <c r="D35" s="185"/>
      <c r="E35" s="185"/>
      <c r="F35" s="185"/>
      <c r="G35" s="185"/>
      <c r="H35" s="185"/>
      <c r="I35" s="185"/>
      <c r="J35" s="185"/>
      <c r="K35" s="185" t="s">
        <v>147</v>
      </c>
      <c r="L35" s="256">
        <f>Arealläckage!D9</f>
        <v>0.31</v>
      </c>
    </row>
    <row r="36" spans="2:12" ht="12" customHeight="1">
      <c r="B36" s="186" t="s">
        <v>108</v>
      </c>
      <c r="C36" s="187">
        <v>748</v>
      </c>
      <c r="D36" s="187" t="s">
        <v>111</v>
      </c>
      <c r="E36" s="188"/>
      <c r="F36" s="188"/>
      <c r="G36" s="188"/>
      <c r="H36" s="188"/>
      <c r="I36" s="188"/>
      <c r="J36" s="188"/>
      <c r="K36" s="188"/>
      <c r="L36" s="189"/>
    </row>
    <row r="37" spans="2:12" ht="12" customHeight="1">
      <c r="B37" s="190"/>
      <c r="C37" s="123" t="s">
        <v>67</v>
      </c>
      <c r="D37" s="123" t="s">
        <v>68</v>
      </c>
      <c r="E37" s="123" t="s">
        <v>69</v>
      </c>
      <c r="F37" s="123" t="s">
        <v>70</v>
      </c>
      <c r="G37" s="123" t="s">
        <v>71</v>
      </c>
      <c r="H37" s="123" t="s">
        <v>72</v>
      </c>
      <c r="I37" s="123" t="s">
        <v>73</v>
      </c>
      <c r="J37" s="123" t="s">
        <v>8</v>
      </c>
      <c r="K37" s="123" t="s">
        <v>65</v>
      </c>
      <c r="L37" s="191" t="s">
        <v>66</v>
      </c>
    </row>
    <row r="38" spans="2:12" ht="12" customHeight="1">
      <c r="B38" s="190"/>
      <c r="C38" s="123" t="s">
        <v>109</v>
      </c>
      <c r="D38" s="123" t="s">
        <v>109</v>
      </c>
      <c r="E38" s="123" t="s">
        <v>109</v>
      </c>
      <c r="F38" s="123" t="s">
        <v>110</v>
      </c>
      <c r="G38" s="123" t="s">
        <v>110</v>
      </c>
      <c r="H38" s="123" t="s">
        <v>110</v>
      </c>
      <c r="I38" s="123" t="s">
        <v>110</v>
      </c>
      <c r="J38" s="123" t="s">
        <v>109</v>
      </c>
      <c r="K38" s="123" t="s">
        <v>109</v>
      </c>
      <c r="L38" s="191" t="s">
        <v>110</v>
      </c>
    </row>
    <row r="39" spans="2:12" ht="12" customHeight="1" thickBot="1">
      <c r="B39" s="192" t="s">
        <v>96</v>
      </c>
      <c r="C39" s="193">
        <f>($C$36/10000)*Arealläckage!O9</f>
        <v>4.034712E-2</v>
      </c>
      <c r="D39" s="193">
        <f>($C$36/10000)*Arealläckage!P9</f>
        <v>1.8156204000000002E-2</v>
      </c>
      <c r="E39" s="194">
        <f>($C$36/10000)*Arealläckage!Q9</f>
        <v>0.54259920000000006</v>
      </c>
      <c r="F39" s="194">
        <f>($C$36/10000)*Arealläckage!R9</f>
        <v>2.0869200000000001</v>
      </c>
      <c r="G39" s="194">
        <f>($C$36/10000)*Arealläckage!S9</f>
        <v>0.83476800000000007</v>
      </c>
      <c r="H39" s="194">
        <f>($C$36/10000)*Arealläckage!T9</f>
        <v>3.1999440000000003</v>
      </c>
      <c r="I39" s="194">
        <f>($C$36/10000)*Arealläckage!U9</f>
        <v>1.1199804</v>
      </c>
      <c r="J39" s="195">
        <f>($C$36/10000)*Arealläckage!V9</f>
        <v>2.6434320000000002</v>
      </c>
      <c r="K39" s="193">
        <f>($C$36/10000)*Arealläckage!W9</f>
        <v>0</v>
      </c>
      <c r="L39" s="196">
        <f>($C$36/10000)*Arealläckage!X9</f>
        <v>0.2643432</v>
      </c>
    </row>
    <row r="40" spans="2:12" ht="12" customHeight="1" thickTop="1">
      <c r="B40" s="3"/>
      <c r="C40" s="130"/>
      <c r="D40" s="130"/>
      <c r="E40" s="131"/>
      <c r="F40" s="132"/>
      <c r="G40" s="132"/>
      <c r="H40" s="132"/>
      <c r="I40" s="132"/>
      <c r="J40" s="132"/>
      <c r="K40" s="130"/>
      <c r="L40" s="131"/>
    </row>
    <row r="41" spans="2:12" ht="12" customHeight="1">
      <c r="B41" s="3"/>
      <c r="C41" s="130"/>
      <c r="D41" s="130"/>
      <c r="E41" s="131"/>
      <c r="F41" s="132"/>
      <c r="G41" s="132"/>
      <c r="H41" s="132"/>
      <c r="I41" s="132"/>
      <c r="J41" s="132"/>
      <c r="K41" s="130"/>
      <c r="L41" s="131"/>
    </row>
    <row r="42" spans="2:12" ht="12" customHeight="1">
      <c r="B42" s="3"/>
      <c r="C42" s="130"/>
      <c r="D42" s="130"/>
      <c r="E42" s="131"/>
      <c r="F42" s="132"/>
      <c r="G42" s="132"/>
      <c r="H42" s="132"/>
      <c r="I42" s="132"/>
      <c r="J42" s="132"/>
      <c r="K42" s="130"/>
      <c r="L42" s="131"/>
    </row>
    <row r="43" spans="2:12" ht="12" customHeight="1" thickBot="1">
      <c r="B43" s="3"/>
      <c r="C43" s="130"/>
      <c r="D43" s="130"/>
      <c r="E43" s="131"/>
      <c r="F43" s="132"/>
      <c r="G43" s="132"/>
      <c r="H43" s="132"/>
      <c r="I43" s="132"/>
      <c r="J43" s="132"/>
      <c r="K43" s="130"/>
      <c r="L43" s="131"/>
    </row>
    <row r="44" spans="2:12" ht="12" customHeight="1" thickTop="1">
      <c r="B44" s="105" t="s">
        <v>112</v>
      </c>
      <c r="C44" s="106"/>
      <c r="D44" s="106"/>
      <c r="E44" s="106"/>
      <c r="F44" s="106"/>
      <c r="G44" s="106"/>
      <c r="H44" s="106"/>
      <c r="I44" s="106"/>
      <c r="J44" s="106"/>
      <c r="K44" s="106" t="s">
        <v>147</v>
      </c>
      <c r="L44" s="254">
        <f>Arealläckage!D23</f>
        <v>0.9</v>
      </c>
    </row>
    <row r="45" spans="2:12" ht="12" customHeight="1">
      <c r="B45" s="107" t="s">
        <v>108</v>
      </c>
      <c r="C45" s="109">
        <v>397</v>
      </c>
      <c r="D45" s="109" t="s">
        <v>111</v>
      </c>
      <c r="E45" s="108"/>
      <c r="F45" s="108"/>
      <c r="G45" s="108"/>
      <c r="H45" s="108"/>
      <c r="I45" s="108"/>
      <c r="J45" s="108"/>
      <c r="K45" s="108"/>
      <c r="L45" s="110"/>
    </row>
    <row r="46" spans="2:12" ht="12" customHeight="1">
      <c r="B46" s="111"/>
      <c r="C46" s="104" t="s">
        <v>67</v>
      </c>
      <c r="D46" s="104" t="s">
        <v>68</v>
      </c>
      <c r="E46" s="104" t="s">
        <v>69</v>
      </c>
      <c r="F46" s="104" t="s">
        <v>70</v>
      </c>
      <c r="G46" s="104" t="s">
        <v>71</v>
      </c>
      <c r="H46" s="104" t="s">
        <v>72</v>
      </c>
      <c r="I46" s="104" t="s">
        <v>73</v>
      </c>
      <c r="J46" s="104" t="s">
        <v>8</v>
      </c>
      <c r="K46" s="104" t="s">
        <v>65</v>
      </c>
      <c r="L46" s="112" t="s">
        <v>66</v>
      </c>
    </row>
    <row r="47" spans="2:12" ht="12" customHeight="1">
      <c r="B47" s="111"/>
      <c r="C47" s="104" t="s">
        <v>109</v>
      </c>
      <c r="D47" s="104" t="s">
        <v>109</v>
      </c>
      <c r="E47" s="104" t="s">
        <v>109</v>
      </c>
      <c r="F47" s="104" t="s">
        <v>110</v>
      </c>
      <c r="G47" s="104" t="s">
        <v>110</v>
      </c>
      <c r="H47" s="104" t="s">
        <v>110</v>
      </c>
      <c r="I47" s="104" t="s">
        <v>110</v>
      </c>
      <c r="J47" s="104" t="s">
        <v>109</v>
      </c>
      <c r="K47" s="104" t="s">
        <v>109</v>
      </c>
      <c r="L47" s="112" t="s">
        <v>110</v>
      </c>
    </row>
    <row r="48" spans="2:12" ht="12" customHeight="1" thickBot="1">
      <c r="B48" s="113" t="s">
        <v>96</v>
      </c>
      <c r="C48" s="114">
        <f>($C$45/10000)*Arealläckage!O23</f>
        <v>1.9294199999999997E-2</v>
      </c>
      <c r="D48" s="114">
        <f>($C$45/10000)*Arealläckage!P23</f>
        <v>8.6823899999999999E-3</v>
      </c>
      <c r="E48" s="115">
        <f>($C$45/10000)*Arealläckage!Q23</f>
        <v>0.385884</v>
      </c>
      <c r="F48" s="115">
        <f>($C$45/10000)*Arealläckage!R23</f>
        <v>1.60785</v>
      </c>
      <c r="G48" s="115">
        <f>($C$45/10000)*Arealläckage!S23</f>
        <v>0.64313999999999993</v>
      </c>
      <c r="H48" s="115">
        <f>($C$45/10000)*Arealläckage!T23</f>
        <v>6.0026399999999995</v>
      </c>
      <c r="I48" s="115">
        <f>($C$45/10000)*Arealläckage!U23</f>
        <v>2.1009239999999996</v>
      </c>
      <c r="J48" s="116">
        <f>($C$45/10000)*Arealläckage!V23</f>
        <v>5.3594999999999997</v>
      </c>
      <c r="K48" s="114">
        <f>($C$45/10000)*Arealläckage!W23</f>
        <v>0</v>
      </c>
      <c r="L48" s="117">
        <f>($C$45/10000)*Arealläckage!X23</f>
        <v>9.43272E-2</v>
      </c>
    </row>
    <row r="49" spans="2:12" ht="12" customHeight="1" thickTop="1">
      <c r="B49" s="3"/>
      <c r="C49" s="130"/>
      <c r="D49" s="130"/>
      <c r="E49" s="131"/>
      <c r="F49" s="132"/>
      <c r="G49" s="132"/>
      <c r="H49" s="132"/>
      <c r="I49" s="132"/>
      <c r="J49" s="132"/>
      <c r="K49" s="130"/>
      <c r="L49" s="131"/>
    </row>
    <row r="50" spans="2:12" ht="12" customHeight="1">
      <c r="B50" s="3"/>
      <c r="C50" s="130"/>
      <c r="D50" s="130"/>
      <c r="E50" s="131"/>
      <c r="F50" s="132"/>
      <c r="G50" s="132"/>
      <c r="H50" s="132"/>
      <c r="I50" s="132"/>
      <c r="J50" s="132"/>
      <c r="K50" s="130"/>
      <c r="L50" s="131"/>
    </row>
    <row r="51" spans="2:12" ht="12" customHeight="1">
      <c r="B51" s="3"/>
      <c r="C51" s="130"/>
      <c r="D51" s="130"/>
      <c r="E51" s="131"/>
      <c r="F51" s="132"/>
      <c r="G51" s="132"/>
      <c r="H51" s="132"/>
      <c r="I51" s="132"/>
      <c r="J51" s="132"/>
      <c r="K51" s="130"/>
      <c r="L51" s="131"/>
    </row>
    <row r="52" spans="2:12" ht="12" customHeight="1" thickBot="1">
      <c r="B52" s="3"/>
      <c r="C52" s="130"/>
      <c r="D52" s="130"/>
      <c r="E52" s="131"/>
      <c r="F52" s="132"/>
      <c r="G52" s="132"/>
      <c r="H52" s="132"/>
      <c r="I52" s="132"/>
      <c r="J52" s="132"/>
      <c r="K52" s="130"/>
      <c r="L52" s="131"/>
    </row>
    <row r="53" spans="2:12" ht="12" customHeight="1">
      <c r="B53" s="200" t="s">
        <v>135</v>
      </c>
      <c r="C53" s="201"/>
      <c r="D53" s="201"/>
      <c r="E53" s="201"/>
      <c r="F53" s="201"/>
      <c r="G53" s="201"/>
      <c r="H53" s="201"/>
      <c r="I53" s="201"/>
      <c r="J53" s="201"/>
      <c r="K53" s="201" t="s">
        <v>147</v>
      </c>
      <c r="L53" s="259">
        <v>0.3</v>
      </c>
    </row>
    <row r="54" spans="2:12" ht="12" customHeight="1">
      <c r="B54" s="202" t="s">
        <v>108</v>
      </c>
      <c r="C54" s="187">
        <v>98</v>
      </c>
      <c r="D54" s="187" t="s">
        <v>111</v>
      </c>
      <c r="E54" s="187"/>
      <c r="F54" s="187"/>
      <c r="G54" s="187"/>
      <c r="H54" s="187"/>
      <c r="I54" s="188"/>
      <c r="J54" s="188"/>
      <c r="K54" s="188"/>
      <c r="L54" s="203"/>
    </row>
    <row r="55" spans="2:12" ht="12" customHeight="1">
      <c r="B55" s="204"/>
      <c r="C55" s="123" t="s">
        <v>67</v>
      </c>
      <c r="D55" s="123" t="s">
        <v>68</v>
      </c>
      <c r="E55" s="123" t="s">
        <v>69</v>
      </c>
      <c r="F55" s="123" t="s">
        <v>70</v>
      </c>
      <c r="G55" s="123" t="s">
        <v>71</v>
      </c>
      <c r="H55" s="123" t="s">
        <v>72</v>
      </c>
      <c r="I55" s="123" t="s">
        <v>73</v>
      </c>
      <c r="J55" s="123" t="s">
        <v>8</v>
      </c>
      <c r="K55" s="123" t="s">
        <v>65</v>
      </c>
      <c r="L55" s="205" t="s">
        <v>66</v>
      </c>
    </row>
    <row r="56" spans="2:12" ht="12" customHeight="1">
      <c r="B56" s="204"/>
      <c r="C56" s="123" t="s">
        <v>109</v>
      </c>
      <c r="D56" s="123" t="s">
        <v>109</v>
      </c>
      <c r="E56" s="123" t="s">
        <v>109</v>
      </c>
      <c r="F56" s="123" t="s">
        <v>110</v>
      </c>
      <c r="G56" s="123" t="s">
        <v>110</v>
      </c>
      <c r="H56" s="123" t="s">
        <v>110</v>
      </c>
      <c r="I56" s="123" t="s">
        <v>110</v>
      </c>
      <c r="J56" s="123" t="s">
        <v>109</v>
      </c>
      <c r="K56" s="123" t="s">
        <v>109</v>
      </c>
      <c r="L56" s="205" t="s">
        <v>110</v>
      </c>
    </row>
    <row r="57" spans="2:12" ht="12" customHeight="1">
      <c r="B57" s="204" t="s">
        <v>96</v>
      </c>
      <c r="C57" s="206">
        <f>($C$54/10000)*Arealläckage!O62</f>
        <v>1.8816E-3</v>
      </c>
      <c r="D57" s="206">
        <f>($C$54/10000)*Arealläckage!P62</f>
        <v>8.4672000000000002E-4</v>
      </c>
      <c r="E57" s="207">
        <f>($C$54/10000)*Arealläckage!Q62</f>
        <v>0.10584</v>
      </c>
      <c r="F57" s="207">
        <f>($C$54/10000)*Arealläckage!R62</f>
        <v>0.13524</v>
      </c>
      <c r="G57" s="207">
        <f>($C$54/10000)*Arealläckage!S62</f>
        <v>5.4096000000000005E-2</v>
      </c>
      <c r="H57" s="207">
        <f>($C$54/10000)*Arealläckage!T62</f>
        <v>0.49979999999999997</v>
      </c>
      <c r="I57" s="207">
        <f>($C$54/10000)*Arealläckage!U62</f>
        <v>0.17492999999999997</v>
      </c>
      <c r="J57" s="208">
        <f>($C$54/10000)*Arealläckage!V62</f>
        <v>0</v>
      </c>
      <c r="K57" s="206">
        <f>($C$54/10000)*Arealläckage!W62</f>
        <v>0</v>
      </c>
      <c r="L57" s="209">
        <f>($C$54/10000)*Arealläckage!X62</f>
        <v>4.1160000000000007E-3</v>
      </c>
    </row>
    <row r="58" spans="2:12" ht="12" customHeight="1">
      <c r="B58" s="204" t="s">
        <v>131</v>
      </c>
      <c r="C58" s="206">
        <f>C39+C48</f>
        <v>5.9641319999999998E-2</v>
      </c>
      <c r="D58" s="206">
        <f t="shared" ref="D58:L58" si="2">D39+D48</f>
        <v>2.6838594E-2</v>
      </c>
      <c r="E58" s="207">
        <f t="shared" si="2"/>
        <v>0.92848320000000006</v>
      </c>
      <c r="F58" s="207">
        <f>F39+F48</f>
        <v>3.6947700000000001</v>
      </c>
      <c r="G58" s="207">
        <f t="shared" si="2"/>
        <v>1.477908</v>
      </c>
      <c r="H58" s="207">
        <f>H39+H48</f>
        <v>9.2025839999999999</v>
      </c>
      <c r="I58" s="207">
        <f t="shared" si="2"/>
        <v>3.2209043999999993</v>
      </c>
      <c r="J58" s="208">
        <f t="shared" si="2"/>
        <v>8.0029319999999995</v>
      </c>
      <c r="K58" s="206">
        <f t="shared" si="2"/>
        <v>0</v>
      </c>
      <c r="L58" s="209">
        <f t="shared" si="2"/>
        <v>0.3586704</v>
      </c>
    </row>
    <row r="59" spans="2:12" ht="12" customHeight="1">
      <c r="B59" s="283" t="s">
        <v>114</v>
      </c>
      <c r="C59" s="284"/>
      <c r="D59" s="284"/>
      <c r="E59" s="284"/>
      <c r="F59" s="284"/>
      <c r="G59" s="284"/>
      <c r="H59" s="284"/>
      <c r="I59" s="284"/>
      <c r="J59" s="284"/>
      <c r="K59" s="284"/>
      <c r="L59" s="285"/>
    </row>
    <row r="60" spans="2:12" ht="12" customHeight="1">
      <c r="B60" s="204" t="s">
        <v>115</v>
      </c>
      <c r="C60" s="188">
        <f>Reningsgrader!C29</f>
        <v>20</v>
      </c>
      <c r="D60" s="188">
        <f>Reningsgrader!D29</f>
        <v>0</v>
      </c>
      <c r="E60" s="188">
        <f>Reningsgrader!E29</f>
        <v>25</v>
      </c>
      <c r="F60" s="188">
        <f>Reningsgrader!F29</f>
        <v>30</v>
      </c>
      <c r="G60" s="208">
        <f>Reningsgrader!G29</f>
        <v>0</v>
      </c>
      <c r="H60" s="188">
        <f>Reningsgrader!H29</f>
        <v>45</v>
      </c>
      <c r="I60" s="188">
        <f>Reningsgrader!I29</f>
        <v>0</v>
      </c>
      <c r="J60" s="188">
        <f>Reningsgrader!J29</f>
        <v>55</v>
      </c>
      <c r="K60" s="188">
        <f>Reningsgrader!K29</f>
        <v>75</v>
      </c>
      <c r="L60" s="203">
        <f>Reningsgrader!L29</f>
        <v>60</v>
      </c>
    </row>
    <row r="61" spans="2:12" ht="12" customHeight="1" thickBot="1">
      <c r="B61" s="210" t="s">
        <v>116</v>
      </c>
      <c r="C61" s="211">
        <f>(C57+C58)-(C60/100*0.9*(C57+C58))</f>
        <v>5.0448794399999997E-2</v>
      </c>
      <c r="D61" s="211">
        <f t="shared" ref="D61:L61" si="3">(D57+D58)-(D60/100*0.9*(D57+D58))</f>
        <v>2.7685313999999999E-2</v>
      </c>
      <c r="E61" s="212">
        <f t="shared" si="3"/>
        <v>0.80160048000000006</v>
      </c>
      <c r="F61" s="212">
        <f t="shared" si="3"/>
        <v>2.7959073000000001</v>
      </c>
      <c r="G61" s="212">
        <f t="shared" si="3"/>
        <v>1.5320039999999999</v>
      </c>
      <c r="H61" s="213">
        <f t="shared" si="3"/>
        <v>5.7729184799999995</v>
      </c>
      <c r="I61" s="212">
        <f t="shared" si="3"/>
        <v>3.3958343999999991</v>
      </c>
      <c r="J61" s="213">
        <f t="shared" si="3"/>
        <v>4.0414806599999995</v>
      </c>
      <c r="K61" s="211">
        <f t="shared" si="3"/>
        <v>0</v>
      </c>
      <c r="L61" s="214">
        <f t="shared" si="3"/>
        <v>0.166881744</v>
      </c>
    </row>
    <row r="65" spans="2:12" ht="12" customHeight="1" thickBot="1"/>
    <row r="66" spans="2:12" ht="12" customHeight="1" thickTop="1">
      <c r="B66" s="133" t="s">
        <v>117</v>
      </c>
      <c r="C66" s="134"/>
      <c r="D66" s="134"/>
      <c r="E66" s="134"/>
      <c r="F66" s="134"/>
      <c r="G66" s="134"/>
      <c r="H66" s="134"/>
      <c r="I66" s="134"/>
      <c r="J66" s="134"/>
      <c r="K66" s="134" t="s">
        <v>147</v>
      </c>
      <c r="L66" s="255">
        <f>(C5*L4+C14*L13+C27*L26+C36*L35+C45*L44+C54*L53)/C67</f>
        <v>0.44659920634920636</v>
      </c>
    </row>
    <row r="67" spans="2:12" ht="12" customHeight="1">
      <c r="B67" s="135" t="s">
        <v>108</v>
      </c>
      <c r="C67" s="136">
        <f>C5+C14+C27+C36+C45+C54</f>
        <v>2520</v>
      </c>
      <c r="D67" s="136" t="s">
        <v>111</v>
      </c>
      <c r="E67" s="77"/>
      <c r="F67" s="77"/>
      <c r="G67" s="77"/>
      <c r="H67" s="77"/>
      <c r="I67" s="77"/>
      <c r="J67" s="77"/>
      <c r="K67" s="77"/>
      <c r="L67" s="137"/>
    </row>
    <row r="68" spans="2:12" ht="12" customHeight="1">
      <c r="B68" s="138"/>
      <c r="C68" s="129" t="s">
        <v>67</v>
      </c>
      <c r="D68" s="129" t="s">
        <v>68</v>
      </c>
      <c r="E68" s="129" t="s">
        <v>69</v>
      </c>
      <c r="F68" s="129" t="s">
        <v>70</v>
      </c>
      <c r="G68" s="129" t="s">
        <v>71</v>
      </c>
      <c r="H68" s="129" t="s">
        <v>72</v>
      </c>
      <c r="I68" s="129" t="s">
        <v>73</v>
      </c>
      <c r="J68" s="129" t="s">
        <v>8</v>
      </c>
      <c r="K68" s="129" t="s">
        <v>65</v>
      </c>
      <c r="L68" s="139" t="s">
        <v>66</v>
      </c>
    </row>
    <row r="69" spans="2:12" ht="12" customHeight="1">
      <c r="B69" s="138"/>
      <c r="C69" s="129" t="s">
        <v>109</v>
      </c>
      <c r="D69" s="129" t="s">
        <v>109</v>
      </c>
      <c r="E69" s="129" t="s">
        <v>109</v>
      </c>
      <c r="F69" s="129" t="s">
        <v>110</v>
      </c>
      <c r="G69" s="129" t="s">
        <v>110</v>
      </c>
      <c r="H69" s="129" t="s">
        <v>110</v>
      </c>
      <c r="I69" s="129" t="s">
        <v>110</v>
      </c>
      <c r="J69" s="129" t="s">
        <v>109</v>
      </c>
      <c r="K69" s="129" t="s">
        <v>109</v>
      </c>
      <c r="L69" s="139" t="s">
        <v>110</v>
      </c>
    </row>
    <row r="70" spans="2:12" ht="12" customHeight="1">
      <c r="B70" s="138" t="s">
        <v>96</v>
      </c>
      <c r="C70" s="144">
        <f>C21+C30+C61</f>
        <v>9.9025094399999986E-2</v>
      </c>
      <c r="D70" s="144">
        <f t="shared" ref="D70:L70" si="4">D21+D30+D61</f>
        <v>5.2188489000000005E-2</v>
      </c>
      <c r="E70" s="145">
        <f t="shared" si="4"/>
        <v>1.6858232399999999</v>
      </c>
      <c r="F70" s="145">
        <f t="shared" si="4"/>
        <v>5.8522166999999996</v>
      </c>
      <c r="G70" s="145">
        <f t="shared" si="4"/>
        <v>2.9484201599999995</v>
      </c>
      <c r="H70" s="146">
        <f t="shared" si="4"/>
        <v>10.17088188</v>
      </c>
      <c r="I70" s="145">
        <f t="shared" si="4"/>
        <v>5.1527758799999983</v>
      </c>
      <c r="J70" s="146">
        <f t="shared" si="4"/>
        <v>8.0587434599999987</v>
      </c>
      <c r="K70" s="144">
        <f t="shared" si="4"/>
        <v>1.1225087999999994E-2</v>
      </c>
      <c r="L70" s="147">
        <f t="shared" si="4"/>
        <v>0.4593951</v>
      </c>
    </row>
    <row r="71" spans="2:12" ht="12" customHeight="1">
      <c r="B71" s="138" t="s">
        <v>118</v>
      </c>
      <c r="C71" s="144">
        <f>C70*(10000/$C$67)</f>
        <v>0.39295672380952379</v>
      </c>
      <c r="D71" s="144">
        <f t="shared" ref="D71:L71" si="5">D70*(10000/$C$67)</f>
        <v>0.20709717857142859</v>
      </c>
      <c r="E71" s="145">
        <f t="shared" si="5"/>
        <v>6.6897747619047623</v>
      </c>
      <c r="F71" s="146">
        <f t="shared" si="5"/>
        <v>23.223082142857141</v>
      </c>
      <c r="G71" s="145">
        <f t="shared" si="5"/>
        <v>11.700079999999998</v>
      </c>
      <c r="H71" s="146">
        <f t="shared" si="5"/>
        <v>40.360642380952378</v>
      </c>
      <c r="I71" s="146">
        <f t="shared" si="5"/>
        <v>20.447523333333326</v>
      </c>
      <c r="J71" s="146">
        <f t="shared" si="5"/>
        <v>31.979140714285709</v>
      </c>
      <c r="K71" s="144">
        <f t="shared" si="5"/>
        <v>4.4543999999999979E-2</v>
      </c>
      <c r="L71" s="147">
        <f t="shared" si="5"/>
        <v>1.8229964285714286</v>
      </c>
    </row>
    <row r="72" spans="2:12" ht="12" customHeight="1">
      <c r="B72" s="281" t="s">
        <v>119</v>
      </c>
      <c r="C72" s="129" t="s">
        <v>120</v>
      </c>
      <c r="D72" s="129" t="s">
        <v>120</v>
      </c>
      <c r="E72" s="129" t="s">
        <v>120</v>
      </c>
      <c r="F72" s="129" t="s">
        <v>121</v>
      </c>
      <c r="G72" s="129" t="s">
        <v>121</v>
      </c>
      <c r="H72" s="129" t="s">
        <v>121</v>
      </c>
      <c r="I72" s="129" t="s">
        <v>121</v>
      </c>
      <c r="J72" s="129" t="s">
        <v>120</v>
      </c>
      <c r="K72" s="129" t="s">
        <v>120</v>
      </c>
      <c r="L72" s="139" t="s">
        <v>121</v>
      </c>
    </row>
    <row r="73" spans="2:12" ht="12" customHeight="1" thickBot="1">
      <c r="B73" s="282"/>
      <c r="C73" s="140">
        <f>C71*100/($L$66*Intro!$B$11)</f>
        <v>0.14664779151080032</v>
      </c>
      <c r="D73" s="140">
        <f>D71*100/($L$66*Intro!$B$11)</f>
        <v>7.7286739290759979E-2</v>
      </c>
      <c r="E73" s="141">
        <f>E71*100/($L$66*Intro!$B$11)</f>
        <v>2.4965616697617796</v>
      </c>
      <c r="F73" s="142">
        <f>F71*100/($L$66*Intro!$B$11)</f>
        <v>8.6666380849986222</v>
      </c>
      <c r="G73" s="141">
        <f>G71*100/($L$66*Intro!$B$11)</f>
        <v>4.3663609464826765</v>
      </c>
      <c r="H73" s="142">
        <f>H71*100/($L$66*Intro!$B$11)</f>
        <v>15.062216041868439</v>
      </c>
      <c r="I73" s="141">
        <f>I71*100/($L$66*Intro!$B$11)</f>
        <v>7.6308253734128257</v>
      </c>
      <c r="J73" s="142">
        <f>J71*100/($L$66*Intro!$B$11)</f>
        <v>11.93431763859147</v>
      </c>
      <c r="K73" s="140">
        <f>K71*100/($L$66*Intro!$B$11)</f>
        <v>1.6623406164754797E-2</v>
      </c>
      <c r="L73" s="143">
        <f>L71*100/($L$66*Intro!$B$11)</f>
        <v>0.68032529788614127</v>
      </c>
    </row>
    <row r="74" spans="2:12" ht="12" customHeight="1" thickTop="1"/>
    <row r="75" spans="2:12" ht="12" hidden="1" customHeight="1">
      <c r="B75" s="2" t="s">
        <v>122</v>
      </c>
    </row>
    <row r="76" spans="2:12" ht="12" hidden="1" customHeight="1">
      <c r="B76" s="1" t="s">
        <v>123</v>
      </c>
      <c r="C76" s="92">
        <f>(C5*Arealläckage!D61+C14+C27*Arealläckage!D9+C36*Arealläckage!D10+'2a'!C45*Arealläckage!D23+'2a'!C54)/'2a'!C67</f>
        <v>0.54882142857142857</v>
      </c>
    </row>
    <row r="77" spans="2:12" ht="12" hidden="1" customHeight="1">
      <c r="B77" s="1" t="s">
        <v>124</v>
      </c>
      <c r="C77" s="94">
        <f>C76*600</f>
        <v>329.29285714285714</v>
      </c>
      <c r="D77" s="93" t="s">
        <v>101</v>
      </c>
    </row>
    <row r="78" spans="2:12" ht="12" hidden="1" customHeight="1">
      <c r="C78" s="181">
        <f>C77*10000</f>
        <v>3292928.5714285714</v>
      </c>
      <c r="D78" s="93" t="s">
        <v>125</v>
      </c>
    </row>
  </sheetData>
  <mergeCells count="3">
    <mergeCell ref="B59:L59"/>
    <mergeCell ref="B72:B73"/>
    <mergeCell ref="B19:L19"/>
  </mergeCells>
  <phoneticPr fontId="20" type="noConversion"/>
  <pageMargins left="0.70000000000000007" right="0.70000000000000007" top="0.75000000000000011" bottom="0.75000000000000011" header="0.30000000000000004" footer="0.30000000000000004"/>
  <pageSetup paperSize="9" orientation="landscape"/>
  <drawing r:id="rId1"/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78"/>
  <sheetViews>
    <sheetView topLeftCell="A34" zoomScale="90" zoomScaleNormal="90" zoomScalePageLayoutView="90" workbookViewId="0">
      <selection activeCell="D60" sqref="D60:L60"/>
    </sheetView>
  </sheetViews>
  <sheetFormatPr baseColWidth="10" defaultColWidth="8.83203125" defaultRowHeight="12" customHeight="1" x14ac:dyDescent="0"/>
  <cols>
    <col min="1" max="1" width="5.33203125" style="1" customWidth="1"/>
    <col min="2" max="2" width="19.5" style="1" customWidth="1"/>
    <col min="3" max="3" width="9.1640625" style="93" customWidth="1"/>
    <col min="4" max="12" width="8.83203125" style="93"/>
    <col min="13" max="16384" width="8.83203125" style="1"/>
  </cols>
  <sheetData>
    <row r="2" spans="2:12" ht="12" customHeight="1">
      <c r="B2" s="90" t="s">
        <v>136</v>
      </c>
    </row>
    <row r="3" spans="2:12" ht="12" customHeight="1" thickBot="1"/>
    <row r="4" spans="2:12" ht="12" customHeight="1" thickTop="1">
      <c r="B4" s="105" t="s">
        <v>112</v>
      </c>
      <c r="C4" s="106"/>
      <c r="D4" s="106"/>
      <c r="E4" s="106"/>
      <c r="F4" s="106"/>
      <c r="G4" s="106"/>
      <c r="H4" s="106"/>
      <c r="I4" s="106"/>
      <c r="J4" s="106"/>
      <c r="K4" s="106" t="s">
        <v>147</v>
      </c>
      <c r="L4" s="254">
        <f>Arealläckage!D23</f>
        <v>0.9</v>
      </c>
    </row>
    <row r="5" spans="2:12" ht="12" customHeight="1">
      <c r="B5" s="107" t="s">
        <v>108</v>
      </c>
      <c r="C5" s="109">
        <v>397</v>
      </c>
      <c r="D5" s="109" t="s">
        <v>111</v>
      </c>
      <c r="E5" s="108"/>
      <c r="F5" s="108"/>
      <c r="G5" s="108"/>
      <c r="H5" s="108"/>
      <c r="I5" s="108"/>
      <c r="J5" s="108"/>
      <c r="K5" s="108"/>
      <c r="L5" s="110"/>
    </row>
    <row r="6" spans="2:12" ht="12" customHeight="1">
      <c r="B6" s="111"/>
      <c r="C6" s="104" t="s">
        <v>67</v>
      </c>
      <c r="D6" s="104" t="s">
        <v>68</v>
      </c>
      <c r="E6" s="104" t="s">
        <v>69</v>
      </c>
      <c r="F6" s="104" t="s">
        <v>70</v>
      </c>
      <c r="G6" s="104" t="s">
        <v>71</v>
      </c>
      <c r="H6" s="104" t="s">
        <v>72</v>
      </c>
      <c r="I6" s="104" t="s">
        <v>73</v>
      </c>
      <c r="J6" s="104" t="s">
        <v>8</v>
      </c>
      <c r="K6" s="104" t="s">
        <v>65</v>
      </c>
      <c r="L6" s="112" t="s">
        <v>66</v>
      </c>
    </row>
    <row r="7" spans="2:12" ht="12" customHeight="1">
      <c r="B7" s="111"/>
      <c r="C7" s="104" t="s">
        <v>109</v>
      </c>
      <c r="D7" s="104" t="s">
        <v>109</v>
      </c>
      <c r="E7" s="104" t="s">
        <v>109</v>
      </c>
      <c r="F7" s="104" t="s">
        <v>110</v>
      </c>
      <c r="G7" s="104" t="s">
        <v>110</v>
      </c>
      <c r="H7" s="104" t="s">
        <v>110</v>
      </c>
      <c r="I7" s="104" t="s">
        <v>110</v>
      </c>
      <c r="J7" s="104" t="s">
        <v>109</v>
      </c>
      <c r="K7" s="104" t="s">
        <v>109</v>
      </c>
      <c r="L7" s="112" t="s">
        <v>110</v>
      </c>
    </row>
    <row r="8" spans="2:12" ht="12" customHeight="1" thickBot="1">
      <c r="B8" s="113" t="s">
        <v>96</v>
      </c>
      <c r="C8" s="114">
        <f>($C$5/10000)*Arealläckage!O23</f>
        <v>1.9294199999999997E-2</v>
      </c>
      <c r="D8" s="114">
        <f>($C$5/10000)*Arealläckage!P23</f>
        <v>8.6823899999999999E-3</v>
      </c>
      <c r="E8" s="115">
        <f>($C$5/10000)*Arealläckage!Q23</f>
        <v>0.385884</v>
      </c>
      <c r="F8" s="115">
        <f>($C$5/10000)*Arealläckage!R23</f>
        <v>1.60785</v>
      </c>
      <c r="G8" s="115">
        <f>($C$5/10000)*Arealläckage!S23</f>
        <v>0.64313999999999993</v>
      </c>
      <c r="H8" s="115">
        <f>($C$5/10000)*Arealläckage!T23</f>
        <v>6.0026399999999995</v>
      </c>
      <c r="I8" s="115">
        <f>($C$5/10000)*Arealläckage!U23</f>
        <v>2.1009239999999996</v>
      </c>
      <c r="J8" s="116">
        <f>($C$5/10000)*Arealläckage!V23</f>
        <v>5.3594999999999997</v>
      </c>
      <c r="K8" s="114">
        <f>($C$5/10000)*Arealläckage!W23</f>
        <v>0</v>
      </c>
      <c r="L8" s="117">
        <f>($C$5/10000)*Arealläckage!X23</f>
        <v>9.43272E-2</v>
      </c>
    </row>
    <row r="9" spans="2:12" ht="12" customHeight="1" thickTop="1">
      <c r="C9" s="1"/>
      <c r="D9" s="1"/>
      <c r="E9" s="1"/>
      <c r="F9" s="1"/>
      <c r="G9" s="1"/>
      <c r="H9" s="1"/>
      <c r="I9" s="1"/>
      <c r="J9" s="1"/>
      <c r="K9" s="1"/>
      <c r="L9" s="1"/>
    </row>
    <row r="10" spans="2:12" ht="12" customHeight="1"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12" customHeight="1"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2:12" ht="12" customHeight="1"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12" customHeight="1">
      <c r="B13" s="118" t="s">
        <v>113</v>
      </c>
      <c r="C13" s="119"/>
      <c r="D13" s="119"/>
      <c r="E13" s="119"/>
      <c r="F13" s="119"/>
      <c r="G13" s="119"/>
      <c r="H13" s="119"/>
      <c r="I13" s="119"/>
      <c r="J13" s="119"/>
      <c r="K13" s="119" t="s">
        <v>147</v>
      </c>
      <c r="L13" s="124">
        <v>0.3</v>
      </c>
    </row>
    <row r="14" spans="2:12" ht="12" customHeight="1">
      <c r="B14" s="120" t="s">
        <v>108</v>
      </c>
      <c r="C14" s="121">
        <v>25</v>
      </c>
      <c r="D14" s="121" t="s">
        <v>111</v>
      </c>
      <c r="E14" s="119"/>
      <c r="F14" s="119"/>
      <c r="G14" s="119"/>
      <c r="H14" s="119"/>
      <c r="I14" s="119"/>
      <c r="J14" s="119"/>
      <c r="K14" s="119"/>
      <c r="L14" s="119"/>
    </row>
    <row r="15" spans="2:12" ht="12" customHeight="1">
      <c r="B15" s="122"/>
      <c r="C15" s="123" t="s">
        <v>67</v>
      </c>
      <c r="D15" s="123" t="s">
        <v>68</v>
      </c>
      <c r="E15" s="123" t="s">
        <v>69</v>
      </c>
      <c r="F15" s="123" t="s">
        <v>70</v>
      </c>
      <c r="G15" s="123" t="s">
        <v>71</v>
      </c>
      <c r="H15" s="123" t="s">
        <v>72</v>
      </c>
      <c r="I15" s="123" t="s">
        <v>73</v>
      </c>
      <c r="J15" s="123" t="s">
        <v>8</v>
      </c>
      <c r="K15" s="123" t="s">
        <v>65</v>
      </c>
      <c r="L15" s="123" t="s">
        <v>66</v>
      </c>
    </row>
    <row r="16" spans="2:12" ht="12" customHeight="1">
      <c r="B16" s="122"/>
      <c r="C16" s="123" t="s">
        <v>109</v>
      </c>
      <c r="D16" s="123" t="s">
        <v>109</v>
      </c>
      <c r="E16" s="123" t="s">
        <v>109</v>
      </c>
      <c r="F16" s="123" t="s">
        <v>110</v>
      </c>
      <c r="G16" s="123" t="s">
        <v>110</v>
      </c>
      <c r="H16" s="123" t="s">
        <v>110</v>
      </c>
      <c r="I16" s="123" t="s">
        <v>110</v>
      </c>
      <c r="J16" s="123" t="s">
        <v>109</v>
      </c>
      <c r="K16" s="123" t="s">
        <v>109</v>
      </c>
      <c r="L16" s="123" t="s">
        <v>110</v>
      </c>
    </row>
    <row r="17" spans="2:12" ht="12" customHeight="1">
      <c r="B17" s="122" t="s">
        <v>96</v>
      </c>
      <c r="C17" s="124">
        <f>$C$14/10000*Arealläckage!O62</f>
        <v>4.8000000000000001E-4</v>
      </c>
      <c r="D17" s="124">
        <f>$C$14/10000*Arealläckage!P62</f>
        <v>2.1600000000000002E-4</v>
      </c>
      <c r="E17" s="125">
        <f>$C$14/10000*Arealläckage!Q62</f>
        <v>2.7000000000000003E-2</v>
      </c>
      <c r="F17" s="125">
        <f>$C$14/10000*Arealläckage!R62</f>
        <v>3.4500000000000003E-2</v>
      </c>
      <c r="G17" s="125">
        <f>$C$14/10000*Arealläckage!S62</f>
        <v>1.3800000000000002E-2</v>
      </c>
      <c r="H17" s="125">
        <f>$C$14/10000*Arealläckage!T62</f>
        <v>0.1275</v>
      </c>
      <c r="I17" s="125">
        <f>$C$14/10000*Arealläckage!U62</f>
        <v>4.4624999999999998E-2</v>
      </c>
      <c r="J17" s="126">
        <f>$C$14/10000*Arealläckage!V62</f>
        <v>0</v>
      </c>
      <c r="K17" s="124">
        <f>$C$14/10000*Arealläckage!W62</f>
        <v>0</v>
      </c>
      <c r="L17" s="125">
        <f>$C$14/10000*Arealläckage!X62</f>
        <v>1.0500000000000004E-3</v>
      </c>
    </row>
    <row r="18" spans="2:12" ht="12" customHeight="1">
      <c r="B18" s="122" t="s">
        <v>131</v>
      </c>
      <c r="C18" s="124">
        <f>C8</f>
        <v>1.9294199999999997E-2</v>
      </c>
      <c r="D18" s="124">
        <f t="shared" ref="D18:L18" si="0">D8</f>
        <v>8.6823899999999999E-3</v>
      </c>
      <c r="E18" s="125">
        <f t="shared" si="0"/>
        <v>0.385884</v>
      </c>
      <c r="F18" s="125">
        <f t="shared" si="0"/>
        <v>1.60785</v>
      </c>
      <c r="G18" s="125">
        <f t="shared" si="0"/>
        <v>0.64313999999999993</v>
      </c>
      <c r="H18" s="125">
        <f t="shared" si="0"/>
        <v>6.0026399999999995</v>
      </c>
      <c r="I18" s="125">
        <f t="shared" si="0"/>
        <v>2.1009239999999996</v>
      </c>
      <c r="J18" s="126">
        <f t="shared" si="0"/>
        <v>5.3594999999999997</v>
      </c>
      <c r="K18" s="124">
        <f t="shared" si="0"/>
        <v>0</v>
      </c>
      <c r="L18" s="125">
        <f t="shared" si="0"/>
        <v>9.43272E-2</v>
      </c>
    </row>
    <row r="19" spans="2:12" ht="12" customHeight="1">
      <c r="B19" s="280" t="s">
        <v>114</v>
      </c>
      <c r="C19" s="280"/>
      <c r="D19" s="280"/>
      <c r="E19" s="280"/>
      <c r="F19" s="280"/>
      <c r="G19" s="280"/>
      <c r="H19" s="280"/>
      <c r="I19" s="280"/>
      <c r="J19" s="280"/>
      <c r="K19" s="280"/>
      <c r="L19" s="280"/>
    </row>
    <row r="20" spans="2:12" ht="12" customHeight="1">
      <c r="B20" s="122" t="s">
        <v>115</v>
      </c>
      <c r="C20" s="119">
        <f>Reningsgrader!C13</f>
        <v>65</v>
      </c>
      <c r="D20" s="119">
        <f>Reningsgrader!D13</f>
        <v>25</v>
      </c>
      <c r="E20" s="119">
        <f>Reningsgrader!E13</f>
        <v>40</v>
      </c>
      <c r="F20" s="119">
        <f>Reningsgrader!F13</f>
        <v>65</v>
      </c>
      <c r="G20" s="119">
        <f>Reningsgrader!G13</f>
        <v>40</v>
      </c>
      <c r="H20" s="119">
        <f>Reningsgrader!H13</f>
        <v>85</v>
      </c>
      <c r="I20" s="119">
        <f>Reningsgrader!I13</f>
        <v>70</v>
      </c>
      <c r="J20" s="119">
        <f>Reningsgrader!J13</f>
        <v>80</v>
      </c>
      <c r="K20" s="119">
        <f>Reningsgrader!K13</f>
        <v>80</v>
      </c>
      <c r="L20" s="119">
        <f>Reningsgrader!L13</f>
        <v>85</v>
      </c>
    </row>
    <row r="21" spans="2:12" ht="12" customHeight="1">
      <c r="B21" s="122" t="s">
        <v>116</v>
      </c>
      <c r="C21" s="124">
        <f>(C17+C18)-(C20/100*0.9*(C17+C18))</f>
        <v>8.2062929999999982E-3</v>
      </c>
      <c r="D21" s="124">
        <f t="shared" ref="D21:L21" si="1">(D17+D18)-(D20/100*0.9*(D17+D18))</f>
        <v>6.8962522499999993E-3</v>
      </c>
      <c r="E21" s="125">
        <f t="shared" si="1"/>
        <v>0.26424576</v>
      </c>
      <c r="F21" s="125">
        <f t="shared" si="1"/>
        <v>0.68157524999999985</v>
      </c>
      <c r="G21" s="125">
        <f t="shared" si="1"/>
        <v>0.42044159999999997</v>
      </c>
      <c r="H21" s="125">
        <f t="shared" si="1"/>
        <v>1.4405828999999999</v>
      </c>
      <c r="I21" s="125">
        <f t="shared" si="1"/>
        <v>0.7938531299999998</v>
      </c>
      <c r="J21" s="126">
        <f>(J17+J18)-(J20/100*0.9*(J17+J18))</f>
        <v>1.5006599999999994</v>
      </c>
      <c r="K21" s="124">
        <f t="shared" si="1"/>
        <v>0</v>
      </c>
      <c r="L21" s="125">
        <f t="shared" si="1"/>
        <v>2.2413641999999998E-2</v>
      </c>
    </row>
    <row r="22" spans="2:12" ht="12" customHeight="1">
      <c r="B22" s="3"/>
      <c r="C22" s="130"/>
      <c r="D22" s="130"/>
      <c r="E22" s="131"/>
      <c r="F22" s="132"/>
      <c r="G22" s="131"/>
      <c r="H22" s="132"/>
      <c r="I22" s="132"/>
      <c r="J22" s="132"/>
      <c r="K22" s="130"/>
      <c r="L22" s="131"/>
    </row>
    <row r="23" spans="2:12" ht="12" customHeight="1">
      <c r="B23" s="3"/>
      <c r="C23" s="130"/>
      <c r="D23" s="130"/>
      <c r="E23" s="131"/>
      <c r="F23" s="132"/>
      <c r="G23" s="131"/>
      <c r="H23" s="132"/>
      <c r="I23" s="132"/>
      <c r="J23" s="132"/>
      <c r="K23" s="130"/>
      <c r="L23" s="131"/>
    </row>
    <row r="24" spans="2:12" ht="12" customHeight="1">
      <c r="B24" s="3"/>
      <c r="C24" s="130"/>
      <c r="D24" s="130"/>
      <c r="E24" s="131"/>
      <c r="F24" s="132"/>
      <c r="G24" s="131"/>
      <c r="H24" s="132"/>
      <c r="I24" s="132"/>
      <c r="J24" s="132"/>
      <c r="K24" s="130"/>
      <c r="L24" s="131"/>
    </row>
    <row r="25" spans="2:12" ht="12" customHeight="1">
      <c r="B25" s="3"/>
      <c r="C25" s="130"/>
      <c r="D25" s="130"/>
      <c r="E25" s="131"/>
      <c r="F25" s="132"/>
      <c r="G25" s="131"/>
      <c r="H25" s="132"/>
      <c r="I25" s="132"/>
      <c r="J25" s="132"/>
      <c r="K25" s="130"/>
      <c r="L25" s="131"/>
    </row>
    <row r="26" spans="2:12" ht="12" customHeight="1">
      <c r="B26" s="95" t="s">
        <v>138</v>
      </c>
      <c r="C26" s="102"/>
      <c r="D26" s="102"/>
      <c r="E26" s="102"/>
      <c r="F26" s="102"/>
      <c r="G26" s="102"/>
      <c r="H26" s="102"/>
      <c r="I26" s="102"/>
      <c r="J26" s="102"/>
      <c r="K26" s="102" t="s">
        <v>147</v>
      </c>
      <c r="L26" s="98">
        <f>Arealläckage!D11</f>
        <v>0.4</v>
      </c>
    </row>
    <row r="27" spans="2:12" ht="12" customHeight="1">
      <c r="B27" s="101" t="s">
        <v>108</v>
      </c>
      <c r="C27" s="103">
        <v>232</v>
      </c>
      <c r="D27" s="103" t="s">
        <v>111</v>
      </c>
      <c r="E27" s="102"/>
      <c r="F27" s="102"/>
      <c r="G27" s="102"/>
      <c r="H27" s="102"/>
      <c r="I27" s="102"/>
      <c r="J27" s="102"/>
      <c r="K27" s="102"/>
      <c r="L27" s="102"/>
    </row>
    <row r="28" spans="2:12" ht="12" customHeight="1">
      <c r="B28" s="96"/>
      <c r="C28" s="97" t="s">
        <v>67</v>
      </c>
      <c r="D28" s="97" t="s">
        <v>68</v>
      </c>
      <c r="E28" s="97" t="s">
        <v>69</v>
      </c>
      <c r="F28" s="97" t="s">
        <v>70</v>
      </c>
      <c r="G28" s="97" t="s">
        <v>71</v>
      </c>
      <c r="H28" s="97" t="s">
        <v>72</v>
      </c>
      <c r="I28" s="97" t="s">
        <v>73</v>
      </c>
      <c r="J28" s="97" t="s">
        <v>8</v>
      </c>
      <c r="K28" s="97" t="s">
        <v>65</v>
      </c>
      <c r="L28" s="97" t="s">
        <v>66</v>
      </c>
    </row>
    <row r="29" spans="2:12" ht="12" customHeight="1">
      <c r="B29" s="96"/>
      <c r="C29" s="97" t="s">
        <v>109</v>
      </c>
      <c r="D29" s="97" t="s">
        <v>109</v>
      </c>
      <c r="E29" s="97" t="s">
        <v>109</v>
      </c>
      <c r="F29" s="97" t="s">
        <v>110</v>
      </c>
      <c r="G29" s="97" t="s">
        <v>110</v>
      </c>
      <c r="H29" s="97" t="s">
        <v>110</v>
      </c>
      <c r="I29" s="97" t="s">
        <v>110</v>
      </c>
      <c r="J29" s="97" t="s">
        <v>109</v>
      </c>
      <c r="K29" s="97" t="s">
        <v>109</v>
      </c>
      <c r="L29" s="97" t="s">
        <v>110</v>
      </c>
    </row>
    <row r="30" spans="2:12" ht="12" customHeight="1">
      <c r="B30" s="96" t="s">
        <v>96</v>
      </c>
      <c r="C30" s="98">
        <f>($C$27/10000)*Arealläckage!O11</f>
        <v>2.3385599999999999E-3</v>
      </c>
      <c r="D30" s="98">
        <f>($C$27/10000)*Arealläckage!P11</f>
        <v>1.0523520000000001E-3</v>
      </c>
      <c r="E30" s="99">
        <f>($C$27/10000)*Arealläckage!Q11</f>
        <v>0.11135999999999999</v>
      </c>
      <c r="F30" s="99">
        <f>($C$27/10000)*Arealläckage!R11</f>
        <v>0.66815999999999998</v>
      </c>
      <c r="G30" s="99">
        <f>($C$27/10000)*Arealläckage!S11</f>
        <v>0.267264</v>
      </c>
      <c r="H30" s="99">
        <f>($C$27/10000)*Arealläckage!T11</f>
        <v>1.83744</v>
      </c>
      <c r="I30" s="99">
        <f>($C$27/10000)*Arealläckage!U11</f>
        <v>0.6431039999999999</v>
      </c>
      <c r="J30" s="99">
        <f>($C$27/10000)*Arealläckage!V11</f>
        <v>0.53870399999999996</v>
      </c>
      <c r="K30" s="98">
        <f>($C$27/10000)*Arealläckage!W11</f>
        <v>5.5679999999999992E-3</v>
      </c>
      <c r="L30" s="99">
        <f>($C$27/10000)*Arealläckage!X11</f>
        <v>9.465599999999999E-2</v>
      </c>
    </row>
    <row r="31" spans="2:12" ht="12" customHeight="1">
      <c r="B31" s="3"/>
      <c r="C31" s="130"/>
      <c r="D31" s="130"/>
      <c r="E31" s="131"/>
      <c r="F31" s="132"/>
      <c r="G31" s="131"/>
      <c r="H31" s="132"/>
      <c r="I31" s="132"/>
      <c r="J31" s="132"/>
      <c r="K31" s="130"/>
      <c r="L31" s="131"/>
    </row>
    <row r="32" spans="2:12" ht="12" customHeight="1">
      <c r="B32" s="3"/>
      <c r="C32" s="130"/>
      <c r="D32" s="130"/>
      <c r="E32" s="131"/>
      <c r="F32" s="132"/>
      <c r="G32" s="131"/>
      <c r="H32" s="132"/>
      <c r="I32" s="132"/>
      <c r="J32" s="132"/>
      <c r="K32" s="130"/>
      <c r="L32" s="131"/>
    </row>
    <row r="33" spans="2:12" ht="12" customHeight="1">
      <c r="B33" s="3"/>
      <c r="C33" s="130"/>
      <c r="D33" s="130"/>
      <c r="E33" s="131"/>
      <c r="F33" s="132"/>
      <c r="G33" s="131"/>
      <c r="H33" s="132"/>
      <c r="I33" s="132"/>
      <c r="J33" s="132"/>
      <c r="K33" s="130"/>
      <c r="L33" s="131"/>
    </row>
    <row r="34" spans="2:12" ht="12" customHeight="1" thickBot="1">
      <c r="B34" s="3"/>
      <c r="C34" s="130"/>
      <c r="D34" s="130"/>
      <c r="E34" s="131"/>
      <c r="F34" s="132"/>
      <c r="G34" s="131"/>
      <c r="H34" s="132"/>
      <c r="I34" s="132"/>
      <c r="J34" s="132"/>
      <c r="K34" s="130"/>
      <c r="L34" s="131"/>
    </row>
    <row r="35" spans="2:12" ht="12" customHeight="1" thickTop="1">
      <c r="B35" s="166" t="s">
        <v>134</v>
      </c>
      <c r="C35" s="167"/>
      <c r="D35" s="167"/>
      <c r="E35" s="167"/>
      <c r="F35" s="167"/>
      <c r="G35" s="167"/>
      <c r="H35" s="167"/>
      <c r="I35" s="167"/>
      <c r="J35" s="167"/>
      <c r="K35" s="167" t="s">
        <v>147</v>
      </c>
      <c r="L35" s="258">
        <f>Arealläckage!D10</f>
        <v>0.31</v>
      </c>
    </row>
    <row r="36" spans="2:12" ht="12" customHeight="1">
      <c r="B36" s="168" t="s">
        <v>108</v>
      </c>
      <c r="C36" s="169">
        <v>775</v>
      </c>
      <c r="D36" s="169" t="s">
        <v>111</v>
      </c>
      <c r="E36" s="170"/>
      <c r="F36" s="170"/>
      <c r="G36" s="170"/>
      <c r="H36" s="170"/>
      <c r="I36" s="170"/>
      <c r="J36" s="170"/>
      <c r="K36" s="170"/>
      <c r="L36" s="171"/>
    </row>
    <row r="37" spans="2:12" ht="12" customHeight="1">
      <c r="B37" s="172"/>
      <c r="C37" s="165" t="s">
        <v>67</v>
      </c>
      <c r="D37" s="165" t="s">
        <v>68</v>
      </c>
      <c r="E37" s="165" t="s">
        <v>69</v>
      </c>
      <c r="F37" s="165" t="s">
        <v>70</v>
      </c>
      <c r="G37" s="165" t="s">
        <v>71</v>
      </c>
      <c r="H37" s="165" t="s">
        <v>72</v>
      </c>
      <c r="I37" s="165" t="s">
        <v>73</v>
      </c>
      <c r="J37" s="165" t="s">
        <v>8</v>
      </c>
      <c r="K37" s="165" t="s">
        <v>65</v>
      </c>
      <c r="L37" s="173" t="s">
        <v>66</v>
      </c>
    </row>
    <row r="38" spans="2:12" ht="12" customHeight="1">
      <c r="B38" s="172"/>
      <c r="C38" s="165" t="s">
        <v>109</v>
      </c>
      <c r="D38" s="165" t="s">
        <v>109</v>
      </c>
      <c r="E38" s="165" t="s">
        <v>109</v>
      </c>
      <c r="F38" s="165" t="s">
        <v>110</v>
      </c>
      <c r="G38" s="165" t="s">
        <v>110</v>
      </c>
      <c r="H38" s="165" t="s">
        <v>110</v>
      </c>
      <c r="I38" s="165" t="s">
        <v>110</v>
      </c>
      <c r="J38" s="165" t="s">
        <v>109</v>
      </c>
      <c r="K38" s="165" t="s">
        <v>109</v>
      </c>
      <c r="L38" s="173" t="s">
        <v>110</v>
      </c>
    </row>
    <row r="39" spans="2:12" ht="12" customHeight="1" thickBot="1">
      <c r="B39" s="174" t="s">
        <v>96</v>
      </c>
      <c r="C39" s="175">
        <f>($C$36/10000)*Arealläckage!O10</f>
        <v>4.18035E-2</v>
      </c>
      <c r="D39" s="175">
        <f>($C$36/10000)*Arealläckage!P10</f>
        <v>1.8811575000000001E-2</v>
      </c>
      <c r="E39" s="176">
        <f>($C$36/10000)*Arealläckage!Q10</f>
        <v>0.56218499999999993</v>
      </c>
      <c r="F39" s="176">
        <f>($C$36/10000)*Arealläckage!R10</f>
        <v>2.1622499999999998</v>
      </c>
      <c r="G39" s="176">
        <f>($C$36/10000)*Arealläckage!S10</f>
        <v>0.8649</v>
      </c>
      <c r="H39" s="176">
        <f>($C$36/10000)*Arealläckage!T10</f>
        <v>3.3154500000000002</v>
      </c>
      <c r="I39" s="176">
        <f>($C$36/10000)*Arealläckage!U10</f>
        <v>1.1604074999999998</v>
      </c>
      <c r="J39" s="177">
        <f>($C$36/10000)*Arealläckage!V10</f>
        <v>2.7388500000000002</v>
      </c>
      <c r="K39" s="175">
        <f>($C$36/10000)*Arealläckage!W10</f>
        <v>0</v>
      </c>
      <c r="L39" s="183">
        <f>($C$36/10000)*Arealläckage!X10</f>
        <v>0.27388499999999999</v>
      </c>
    </row>
    <row r="40" spans="2:12" ht="12" customHeight="1" thickTop="1">
      <c r="B40" s="3"/>
      <c r="C40" s="130"/>
      <c r="D40" s="130"/>
      <c r="E40" s="131"/>
      <c r="F40" s="132"/>
      <c r="G40" s="131"/>
      <c r="H40" s="132"/>
      <c r="I40" s="132"/>
      <c r="J40" s="132"/>
      <c r="K40" s="130"/>
      <c r="L40" s="131"/>
    </row>
    <row r="41" spans="2:12" ht="12" customHeight="1">
      <c r="B41" s="3"/>
      <c r="C41" s="130"/>
      <c r="D41" s="130"/>
      <c r="E41" s="131"/>
      <c r="F41" s="132"/>
      <c r="G41" s="131"/>
      <c r="H41" s="132"/>
      <c r="I41" s="132"/>
      <c r="J41" s="132"/>
      <c r="K41" s="130"/>
      <c r="L41" s="131"/>
    </row>
    <row r="42" spans="2:12" ht="12" customHeight="1">
      <c r="B42" s="70"/>
      <c r="C42" s="72"/>
      <c r="D42" s="72"/>
      <c r="E42" s="72"/>
      <c r="F42" s="72"/>
      <c r="G42" s="72"/>
      <c r="H42" s="72"/>
      <c r="I42" s="72"/>
      <c r="J42" s="72"/>
      <c r="K42" s="72"/>
      <c r="L42" s="72"/>
    </row>
    <row r="43" spans="2:12" ht="12" customHeight="1" thickBot="1">
      <c r="B43" s="127"/>
      <c r="C43" s="128"/>
      <c r="D43" s="128"/>
      <c r="E43" s="72"/>
      <c r="F43" s="72"/>
      <c r="G43" s="72"/>
      <c r="H43" s="72"/>
      <c r="I43" s="72"/>
      <c r="J43" s="72"/>
      <c r="K43" s="72"/>
      <c r="L43" s="72"/>
    </row>
    <row r="44" spans="2:12" ht="12" customHeight="1" thickTop="1">
      <c r="B44" s="184" t="s">
        <v>128</v>
      </c>
      <c r="C44" s="185"/>
      <c r="D44" s="185"/>
      <c r="E44" s="185"/>
      <c r="F44" s="185"/>
      <c r="G44" s="185"/>
      <c r="H44" s="185"/>
      <c r="I44" s="185"/>
      <c r="J44" s="185"/>
      <c r="K44" s="185" t="s">
        <v>147</v>
      </c>
      <c r="L44" s="256">
        <f>Arealläckage!D9</f>
        <v>0.31</v>
      </c>
    </row>
    <row r="45" spans="2:12" ht="12" customHeight="1">
      <c r="B45" s="186" t="s">
        <v>108</v>
      </c>
      <c r="C45" s="187">
        <v>748</v>
      </c>
      <c r="D45" s="187" t="s">
        <v>111</v>
      </c>
      <c r="E45" s="188"/>
      <c r="F45" s="188"/>
      <c r="G45" s="188"/>
      <c r="H45" s="188"/>
      <c r="I45" s="188"/>
      <c r="J45" s="188"/>
      <c r="K45" s="188"/>
      <c r="L45" s="189"/>
    </row>
    <row r="46" spans="2:12" ht="12" customHeight="1">
      <c r="B46" s="190"/>
      <c r="C46" s="123" t="s">
        <v>67</v>
      </c>
      <c r="D46" s="123" t="s">
        <v>68</v>
      </c>
      <c r="E46" s="123" t="s">
        <v>69</v>
      </c>
      <c r="F46" s="123" t="s">
        <v>70</v>
      </c>
      <c r="G46" s="123" t="s">
        <v>71</v>
      </c>
      <c r="H46" s="123" t="s">
        <v>72</v>
      </c>
      <c r="I46" s="123" t="s">
        <v>73</v>
      </c>
      <c r="J46" s="123" t="s">
        <v>8</v>
      </c>
      <c r="K46" s="123" t="s">
        <v>65</v>
      </c>
      <c r="L46" s="191" t="s">
        <v>66</v>
      </c>
    </row>
    <row r="47" spans="2:12" ht="12" customHeight="1">
      <c r="B47" s="190"/>
      <c r="C47" s="123" t="s">
        <v>109</v>
      </c>
      <c r="D47" s="123" t="s">
        <v>109</v>
      </c>
      <c r="E47" s="123" t="s">
        <v>109</v>
      </c>
      <c r="F47" s="123" t="s">
        <v>110</v>
      </c>
      <c r="G47" s="123" t="s">
        <v>110</v>
      </c>
      <c r="H47" s="123" t="s">
        <v>110</v>
      </c>
      <c r="I47" s="123" t="s">
        <v>110</v>
      </c>
      <c r="J47" s="123" t="s">
        <v>109</v>
      </c>
      <c r="K47" s="123" t="s">
        <v>109</v>
      </c>
      <c r="L47" s="191" t="s">
        <v>110</v>
      </c>
    </row>
    <row r="48" spans="2:12" ht="12" customHeight="1" thickBot="1">
      <c r="B48" s="192" t="s">
        <v>96</v>
      </c>
      <c r="C48" s="193">
        <f>($C$45/10000)*Arealläckage!O9</f>
        <v>4.034712E-2</v>
      </c>
      <c r="D48" s="193">
        <f>($C$45/10000)*Arealläckage!P9</f>
        <v>1.8156204000000002E-2</v>
      </c>
      <c r="E48" s="194">
        <f>($C$45/10000)*Arealläckage!Q9</f>
        <v>0.54259920000000006</v>
      </c>
      <c r="F48" s="194">
        <f>($C$45/10000)*Arealläckage!R9</f>
        <v>2.0869200000000001</v>
      </c>
      <c r="G48" s="194">
        <f>($C$45/10000)*Arealläckage!S9</f>
        <v>0.83476800000000007</v>
      </c>
      <c r="H48" s="194">
        <f>($C$45/10000)*Arealläckage!T9</f>
        <v>3.1999440000000003</v>
      </c>
      <c r="I48" s="194">
        <f>($C$45/10000)*Arealläckage!U9</f>
        <v>1.1199804</v>
      </c>
      <c r="J48" s="195">
        <f>($C$45/10000)*Arealläckage!V9</f>
        <v>2.6434320000000002</v>
      </c>
      <c r="K48" s="193">
        <f>($C$45/10000)*Arealläckage!W9</f>
        <v>0</v>
      </c>
      <c r="L48" s="196">
        <f>($C$45/10000)*Arealläckage!X9</f>
        <v>0.2643432</v>
      </c>
    </row>
    <row r="49" spans="2:12" ht="12" customHeight="1" thickTop="1">
      <c r="B49" s="3"/>
      <c r="C49" s="130"/>
      <c r="D49" s="130"/>
      <c r="E49" s="131"/>
      <c r="F49" s="132"/>
      <c r="G49" s="132"/>
      <c r="H49" s="132"/>
      <c r="I49" s="132"/>
      <c r="J49" s="132"/>
      <c r="K49" s="130"/>
      <c r="L49" s="131"/>
    </row>
    <row r="50" spans="2:12" ht="12" customHeight="1">
      <c r="B50" s="3"/>
      <c r="C50" s="130"/>
      <c r="D50" s="130"/>
      <c r="E50" s="131"/>
      <c r="F50" s="132"/>
      <c r="G50" s="132"/>
      <c r="H50" s="132"/>
      <c r="I50" s="132"/>
      <c r="J50" s="132"/>
      <c r="K50" s="130"/>
      <c r="L50" s="131"/>
    </row>
    <row r="51" spans="2:12" ht="12" customHeight="1">
      <c r="B51" s="3"/>
      <c r="C51" s="130"/>
      <c r="D51" s="130"/>
      <c r="E51" s="131"/>
      <c r="F51" s="132"/>
      <c r="G51" s="132"/>
      <c r="H51" s="132"/>
      <c r="I51" s="132"/>
      <c r="J51" s="132"/>
      <c r="K51" s="130"/>
      <c r="L51" s="131"/>
    </row>
    <row r="52" spans="2:12" ht="12" customHeight="1" thickBot="1">
      <c r="B52" s="3"/>
      <c r="C52" s="130"/>
      <c r="D52" s="130"/>
      <c r="E52" s="131"/>
      <c r="F52" s="132"/>
      <c r="G52" s="132"/>
      <c r="H52" s="132"/>
      <c r="I52" s="132"/>
      <c r="J52" s="132"/>
      <c r="K52" s="130"/>
      <c r="L52" s="131"/>
    </row>
    <row r="53" spans="2:12" ht="12" customHeight="1">
      <c r="B53" s="200" t="s">
        <v>137</v>
      </c>
      <c r="C53" s="201"/>
      <c r="D53" s="201"/>
      <c r="E53" s="201"/>
      <c r="F53" s="201"/>
      <c r="G53" s="201"/>
      <c r="H53" s="201"/>
      <c r="I53" s="201"/>
      <c r="J53" s="201"/>
      <c r="K53" s="201" t="s">
        <v>147</v>
      </c>
      <c r="L53" s="259">
        <v>0.3</v>
      </c>
    </row>
    <row r="54" spans="2:12" ht="12" customHeight="1">
      <c r="B54" s="202" t="s">
        <v>108</v>
      </c>
      <c r="C54" s="187">
        <v>230</v>
      </c>
      <c r="D54" s="187" t="s">
        <v>111</v>
      </c>
      <c r="E54" s="187"/>
      <c r="F54" s="187"/>
      <c r="G54" s="187"/>
      <c r="H54" s="187"/>
      <c r="I54" s="188"/>
      <c r="J54" s="188"/>
      <c r="K54" s="188"/>
      <c r="L54" s="203"/>
    </row>
    <row r="55" spans="2:12" ht="12" customHeight="1">
      <c r="B55" s="204"/>
      <c r="C55" s="123" t="s">
        <v>67</v>
      </c>
      <c r="D55" s="123" t="s">
        <v>68</v>
      </c>
      <c r="E55" s="123" t="s">
        <v>69</v>
      </c>
      <c r="F55" s="123" t="s">
        <v>70</v>
      </c>
      <c r="G55" s="123" t="s">
        <v>71</v>
      </c>
      <c r="H55" s="123" t="s">
        <v>72</v>
      </c>
      <c r="I55" s="123" t="s">
        <v>73</v>
      </c>
      <c r="J55" s="123" t="s">
        <v>8</v>
      </c>
      <c r="K55" s="123" t="s">
        <v>65</v>
      </c>
      <c r="L55" s="205" t="s">
        <v>66</v>
      </c>
    </row>
    <row r="56" spans="2:12" ht="12" customHeight="1">
      <c r="B56" s="204"/>
      <c r="C56" s="123" t="s">
        <v>109</v>
      </c>
      <c r="D56" s="123" t="s">
        <v>109</v>
      </c>
      <c r="E56" s="123" t="s">
        <v>109</v>
      </c>
      <c r="F56" s="123" t="s">
        <v>110</v>
      </c>
      <c r="G56" s="123" t="s">
        <v>110</v>
      </c>
      <c r="H56" s="123" t="s">
        <v>110</v>
      </c>
      <c r="I56" s="123" t="s">
        <v>110</v>
      </c>
      <c r="J56" s="123" t="s">
        <v>109</v>
      </c>
      <c r="K56" s="123" t="s">
        <v>109</v>
      </c>
      <c r="L56" s="205" t="s">
        <v>110</v>
      </c>
    </row>
    <row r="57" spans="2:12" ht="12" customHeight="1">
      <c r="B57" s="122" t="s">
        <v>96</v>
      </c>
      <c r="C57" s="206">
        <f>($C$54/10000)*Arealläckage!O62</f>
        <v>4.4159999999999998E-3</v>
      </c>
      <c r="D57" s="206">
        <f>($C$54/10000)*Arealläckage!P62</f>
        <v>1.9872000000000002E-3</v>
      </c>
      <c r="E57" s="207">
        <f>($C$54/10000)*Arealläckage!Q62</f>
        <v>0.24840000000000001</v>
      </c>
      <c r="F57" s="207">
        <f>($C$54/10000)*Arealläckage!R62</f>
        <v>0.31740000000000002</v>
      </c>
      <c r="G57" s="207">
        <f>($C$54/10000)*Arealläckage!S62</f>
        <v>0.12696000000000002</v>
      </c>
      <c r="H57" s="207">
        <f>($C$54/10000)*Arealläckage!T62</f>
        <v>1.173</v>
      </c>
      <c r="I57" s="207">
        <f>($C$54/10000)*Arealläckage!U62</f>
        <v>0.41054999999999997</v>
      </c>
      <c r="J57" s="208">
        <f>($C$54/10000)*Arealläckage!V62</f>
        <v>0</v>
      </c>
      <c r="K57" s="206">
        <f>($C$54/10000)*Arealläckage!W62</f>
        <v>0</v>
      </c>
      <c r="L57" s="209">
        <f>($C$54/10000)*Arealläckage!X62</f>
        <v>9.6600000000000019E-3</v>
      </c>
    </row>
    <row r="58" spans="2:12" ht="12" customHeight="1">
      <c r="B58" s="204" t="s">
        <v>131</v>
      </c>
      <c r="C58" s="206">
        <f>C39+C48</f>
        <v>8.2150620000000008E-2</v>
      </c>
      <c r="D58" s="206">
        <f t="shared" ref="D58:L58" si="2">D39+D48</f>
        <v>3.6967779000000006E-2</v>
      </c>
      <c r="E58" s="207">
        <f t="shared" si="2"/>
        <v>1.1047842000000001</v>
      </c>
      <c r="F58" s="207">
        <f t="shared" si="2"/>
        <v>4.2491699999999994</v>
      </c>
      <c r="G58" s="207">
        <f t="shared" si="2"/>
        <v>1.699668</v>
      </c>
      <c r="H58" s="207">
        <f t="shared" si="2"/>
        <v>6.5153940000000006</v>
      </c>
      <c r="I58" s="207">
        <f t="shared" si="2"/>
        <v>2.2803879</v>
      </c>
      <c r="J58" s="208">
        <f t="shared" si="2"/>
        <v>5.382282</v>
      </c>
      <c r="K58" s="206">
        <f t="shared" si="2"/>
        <v>0</v>
      </c>
      <c r="L58" s="209">
        <f t="shared" si="2"/>
        <v>0.53822820000000005</v>
      </c>
    </row>
    <row r="59" spans="2:12" ht="12" customHeight="1">
      <c r="B59" s="283" t="s">
        <v>114</v>
      </c>
      <c r="C59" s="284"/>
      <c r="D59" s="284"/>
      <c r="E59" s="284"/>
      <c r="F59" s="284"/>
      <c r="G59" s="284"/>
      <c r="H59" s="284"/>
      <c r="I59" s="284"/>
      <c r="J59" s="284"/>
      <c r="K59" s="284"/>
      <c r="L59" s="285"/>
    </row>
    <row r="60" spans="2:12" ht="12" customHeight="1">
      <c r="B60" s="204" t="s">
        <v>115</v>
      </c>
      <c r="C60" s="188">
        <f>Reningsgrader!C8</f>
        <v>85</v>
      </c>
      <c r="D60" s="188">
        <f>Reningsgrader!D8</f>
        <v>65</v>
      </c>
      <c r="E60" s="188">
        <f>Reningsgrader!E8</f>
        <v>90</v>
      </c>
      <c r="F60" s="188">
        <f>Reningsgrader!F8</f>
        <v>70</v>
      </c>
      <c r="G60" s="188">
        <f>Reningsgrader!G8</f>
        <v>25</v>
      </c>
      <c r="H60" s="188">
        <f>Reningsgrader!H8</f>
        <v>85</v>
      </c>
      <c r="I60" s="188">
        <f>Reningsgrader!I8</f>
        <v>55</v>
      </c>
      <c r="J60" s="188">
        <f>Reningsgrader!J8</f>
        <v>95</v>
      </c>
      <c r="K60" s="188">
        <f>Reningsgrader!K8</f>
        <v>90</v>
      </c>
      <c r="L60" s="203">
        <f>Reningsgrader!L8</f>
        <v>85</v>
      </c>
    </row>
    <row r="61" spans="2:12" ht="12" customHeight="1" thickBot="1">
      <c r="B61" s="210" t="s">
        <v>116</v>
      </c>
      <c r="C61" s="211">
        <f>(C57+C58)-(C60/100*0.9*(C57+C58))</f>
        <v>2.0343155700000004E-2</v>
      </c>
      <c r="D61" s="211">
        <f t="shared" ref="D61:L61" si="3">(D57+D58)-(D60/100*0.9*(D57+D58))</f>
        <v>1.6166316284999999E-2</v>
      </c>
      <c r="E61" s="212">
        <f>(E57+E58)-(E60/100*0.9*(E57+E58))</f>
        <v>0.25710499799999997</v>
      </c>
      <c r="F61" s="212">
        <f t="shared" si="3"/>
        <v>1.6896308999999996</v>
      </c>
      <c r="G61" s="212">
        <f t="shared" si="3"/>
        <v>1.4156366999999999</v>
      </c>
      <c r="H61" s="212">
        <f t="shared" si="3"/>
        <v>1.8067725900000005</v>
      </c>
      <c r="I61" s="212">
        <f t="shared" si="3"/>
        <v>1.3589236394999997</v>
      </c>
      <c r="J61" s="213">
        <f t="shared" si="3"/>
        <v>0.78043088999999988</v>
      </c>
      <c r="K61" s="211">
        <f t="shared" si="3"/>
        <v>0</v>
      </c>
      <c r="L61" s="214">
        <f t="shared" si="3"/>
        <v>0.12875372699999998</v>
      </c>
    </row>
    <row r="62" spans="2:12" ht="12" customHeight="1">
      <c r="B62" s="5"/>
      <c r="C62" s="144"/>
      <c r="D62" s="144"/>
      <c r="E62" s="145"/>
      <c r="F62" s="145"/>
      <c r="G62" s="145"/>
      <c r="H62" s="146"/>
      <c r="I62" s="145"/>
      <c r="J62" s="146"/>
      <c r="K62" s="144"/>
      <c r="L62" s="144"/>
    </row>
    <row r="63" spans="2:12" ht="12" customHeight="1">
      <c r="B63" s="5"/>
      <c r="C63" s="144"/>
      <c r="D63" s="144"/>
      <c r="E63" s="145"/>
      <c r="F63" s="145"/>
      <c r="G63" s="145"/>
      <c r="H63" s="146"/>
      <c r="I63" s="145"/>
      <c r="J63" s="146"/>
      <c r="K63" s="144"/>
      <c r="L63" s="144"/>
    </row>
    <row r="64" spans="2:12" ht="12" customHeight="1">
      <c r="B64" s="5"/>
      <c r="C64" s="144"/>
      <c r="D64" s="144"/>
      <c r="E64" s="145"/>
      <c r="F64" s="145"/>
      <c r="G64" s="145"/>
      <c r="H64" s="146"/>
      <c r="I64" s="145"/>
      <c r="J64" s="146"/>
      <c r="K64" s="144"/>
      <c r="L64" s="144"/>
    </row>
    <row r="65" spans="2:12" ht="12" customHeight="1" thickBot="1"/>
    <row r="66" spans="2:12" ht="12" customHeight="1" thickTop="1">
      <c r="B66" s="133" t="s">
        <v>117</v>
      </c>
      <c r="C66" s="134"/>
      <c r="D66" s="134"/>
      <c r="E66" s="134"/>
      <c r="F66" s="134"/>
      <c r="G66" s="134"/>
      <c r="H66" s="134"/>
      <c r="I66" s="134"/>
      <c r="J66" s="134"/>
      <c r="K66" s="134" t="s">
        <v>147</v>
      </c>
      <c r="L66" s="255">
        <f>(C5*L4+C14*L13+C27*L26+C36*L35+C45*L44+C54*L53)/C67</f>
        <v>0.41492729538845036</v>
      </c>
    </row>
    <row r="67" spans="2:12" ht="12" customHeight="1">
      <c r="B67" s="135" t="s">
        <v>108</v>
      </c>
      <c r="C67" s="136">
        <f>C5+C14+C27+C36+C45+C54</f>
        <v>2407</v>
      </c>
      <c r="D67" s="136" t="s">
        <v>111</v>
      </c>
      <c r="E67" s="77"/>
      <c r="F67" s="77"/>
      <c r="G67" s="77"/>
      <c r="H67" s="77"/>
      <c r="I67" s="77"/>
      <c r="J67" s="77"/>
      <c r="K67" s="77"/>
      <c r="L67" s="137"/>
    </row>
    <row r="68" spans="2:12" ht="12" customHeight="1">
      <c r="B68" s="138"/>
      <c r="C68" s="129" t="s">
        <v>67</v>
      </c>
      <c r="D68" s="129" t="s">
        <v>68</v>
      </c>
      <c r="E68" s="129" t="s">
        <v>69</v>
      </c>
      <c r="F68" s="129" t="s">
        <v>70</v>
      </c>
      <c r="G68" s="129" t="s">
        <v>71</v>
      </c>
      <c r="H68" s="129" t="s">
        <v>72</v>
      </c>
      <c r="I68" s="129" t="s">
        <v>73</v>
      </c>
      <c r="J68" s="129" t="s">
        <v>8</v>
      </c>
      <c r="K68" s="129" t="s">
        <v>65</v>
      </c>
      <c r="L68" s="139" t="s">
        <v>66</v>
      </c>
    </row>
    <row r="69" spans="2:12" ht="12" customHeight="1">
      <c r="B69" s="138"/>
      <c r="C69" s="129" t="s">
        <v>109</v>
      </c>
      <c r="D69" s="129" t="s">
        <v>109</v>
      </c>
      <c r="E69" s="129" t="s">
        <v>109</v>
      </c>
      <c r="F69" s="129" t="s">
        <v>110</v>
      </c>
      <c r="G69" s="129" t="s">
        <v>110</v>
      </c>
      <c r="H69" s="129" t="s">
        <v>110</v>
      </c>
      <c r="I69" s="129" t="s">
        <v>110</v>
      </c>
      <c r="J69" s="129" t="s">
        <v>109</v>
      </c>
      <c r="K69" s="129" t="s">
        <v>109</v>
      </c>
      <c r="L69" s="139" t="s">
        <v>110</v>
      </c>
    </row>
    <row r="70" spans="2:12" ht="12" customHeight="1">
      <c r="B70" s="138" t="s">
        <v>96</v>
      </c>
      <c r="C70" s="144">
        <f>C61+C30+C21</f>
        <v>3.0888008700000004E-2</v>
      </c>
      <c r="D70" s="144">
        <f t="shared" ref="D70:L70" si="4">D61+D30+D21</f>
        <v>2.4114920534999997E-2</v>
      </c>
      <c r="E70" s="145">
        <f t="shared" si="4"/>
        <v>0.63271075799999998</v>
      </c>
      <c r="F70" s="145">
        <f t="shared" si="4"/>
        <v>3.0393661499999993</v>
      </c>
      <c r="G70" s="145">
        <f t="shared" si="4"/>
        <v>2.1033422999999996</v>
      </c>
      <c r="H70" s="146">
        <f t="shared" si="4"/>
        <v>5.0847954900000003</v>
      </c>
      <c r="I70" s="145">
        <f t="shared" si="4"/>
        <v>2.7958807694999992</v>
      </c>
      <c r="J70" s="146">
        <f t="shared" si="4"/>
        <v>2.8197948899999994</v>
      </c>
      <c r="K70" s="144">
        <f t="shared" si="4"/>
        <v>5.5679999999999992E-3</v>
      </c>
      <c r="L70" s="147">
        <f t="shared" si="4"/>
        <v>0.24582336899999996</v>
      </c>
    </row>
    <row r="71" spans="2:12" ht="12" customHeight="1">
      <c r="B71" s="138" t="s">
        <v>118</v>
      </c>
      <c r="C71" s="144">
        <f>C70*(10000/$C$67)</f>
        <v>0.12832575280432074</v>
      </c>
      <c r="D71" s="144">
        <f t="shared" ref="D71:L71" si="5">D70*(10000/$C$67)</f>
        <v>0.10018662457415869</v>
      </c>
      <c r="E71" s="145">
        <f t="shared" si="5"/>
        <v>2.6286279933527212</v>
      </c>
      <c r="F71" s="146">
        <f t="shared" si="5"/>
        <v>12.627196302451182</v>
      </c>
      <c r="G71" s="145">
        <f t="shared" si="5"/>
        <v>8.7384391358537581</v>
      </c>
      <c r="H71" s="146">
        <f t="shared" si="5"/>
        <v>21.12503319484836</v>
      </c>
      <c r="I71" s="146">
        <f t="shared" si="5"/>
        <v>11.615624302035727</v>
      </c>
      <c r="J71" s="146">
        <f t="shared" si="5"/>
        <v>11.714976692978809</v>
      </c>
      <c r="K71" s="144">
        <f t="shared" si="5"/>
        <v>2.3132530120481925E-2</v>
      </c>
      <c r="L71" s="147">
        <f t="shared" si="5"/>
        <v>1.0212852887411714</v>
      </c>
    </row>
    <row r="72" spans="2:12" ht="12" customHeight="1">
      <c r="B72" s="281" t="s">
        <v>119</v>
      </c>
      <c r="C72" s="129" t="s">
        <v>120</v>
      </c>
      <c r="D72" s="129" t="s">
        <v>120</v>
      </c>
      <c r="E72" s="129" t="s">
        <v>120</v>
      </c>
      <c r="F72" s="129" t="s">
        <v>121</v>
      </c>
      <c r="G72" s="129" t="s">
        <v>121</v>
      </c>
      <c r="H72" s="129" t="s">
        <v>121</v>
      </c>
      <c r="I72" s="129" t="s">
        <v>121</v>
      </c>
      <c r="J72" s="129" t="s">
        <v>120</v>
      </c>
      <c r="K72" s="129" t="s">
        <v>120</v>
      </c>
      <c r="L72" s="139" t="s">
        <v>121</v>
      </c>
    </row>
    <row r="73" spans="2:12" ht="12" customHeight="1" thickBot="1">
      <c r="B73" s="282"/>
      <c r="C73" s="140">
        <f>C71*100/($L$66*Intro!$B$11)</f>
        <v>5.1545477256115274E-2</v>
      </c>
      <c r="D73" s="140">
        <f>D71*100/($L$66*Intro!$B$11)</f>
        <v>4.0242642380823646E-2</v>
      </c>
      <c r="E73" s="141">
        <f>E71*100/($L$66*Intro!$B$11)</f>
        <v>1.0558588707658727</v>
      </c>
      <c r="F73" s="141">
        <f>F71*100/($L$66*Intro!$B$11)</f>
        <v>5.0720517557297757</v>
      </c>
      <c r="G73" s="141">
        <f>G71*100/($L$66*Intro!$B$11)</f>
        <v>3.5100282358595409</v>
      </c>
      <c r="H73" s="142">
        <f>H71*100/($L$66*Intro!$B$11)</f>
        <v>8.4854356532796658</v>
      </c>
      <c r="I73" s="141">
        <f>I71*100/($L$66*Intro!$B$11)</f>
        <v>4.6657267554794579</v>
      </c>
      <c r="J73" s="142">
        <f>J71*100/($L$66*Intro!$B$11)</f>
        <v>4.7056343055680694</v>
      </c>
      <c r="K73" s="140">
        <f>K71*100/($L$66*Intro!$B$11)</f>
        <v>9.2918005867451657E-3</v>
      </c>
      <c r="L73" s="143">
        <f>L71*100/($L$66*Intro!$B$11)</f>
        <v>0.41022660278553752</v>
      </c>
    </row>
    <row r="74" spans="2:12" ht="12" customHeight="1" thickTop="1"/>
    <row r="75" spans="2:12" ht="12" hidden="1" customHeight="1">
      <c r="B75" s="2" t="s">
        <v>122</v>
      </c>
    </row>
    <row r="76" spans="2:12" ht="12" hidden="1" customHeight="1">
      <c r="B76" s="1" t="s">
        <v>123</v>
      </c>
      <c r="C76" s="92">
        <f>(C5*Arealläckage!D23+'2b'!C14+'2b'!C27*Arealläckage!D11+C36*Arealläckage!D10+'2b'!C45*Arealläckage!D9+'2b'!C54)/'2b'!C67</f>
        <v>0.48908599916909018</v>
      </c>
    </row>
    <row r="77" spans="2:12" ht="12" hidden="1" customHeight="1">
      <c r="B77" s="1" t="s">
        <v>124</v>
      </c>
      <c r="C77" s="94">
        <f>C76*600</f>
        <v>293.4515995014541</v>
      </c>
      <c r="D77" s="93" t="s">
        <v>101</v>
      </c>
    </row>
    <row r="78" spans="2:12" ht="12" hidden="1" customHeight="1">
      <c r="C78" s="181">
        <f>C77*10000</f>
        <v>2934515.9950145409</v>
      </c>
      <c r="D78" s="93" t="s">
        <v>125</v>
      </c>
    </row>
  </sheetData>
  <mergeCells count="3">
    <mergeCell ref="B19:L19"/>
    <mergeCell ref="B72:B73"/>
    <mergeCell ref="B59:L59"/>
  </mergeCells>
  <pageMargins left="0.7" right="0.7" top="0.75" bottom="0.75" header="0.3" footer="0.3"/>
  <pageSetup paperSize="9"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47"/>
  <sheetViews>
    <sheetView zoomScale="90" zoomScaleNormal="90" zoomScalePageLayoutView="90" workbookViewId="0">
      <selection activeCell="D29" sqref="D29"/>
    </sheetView>
  </sheetViews>
  <sheetFormatPr baseColWidth="10" defaultColWidth="8.83203125" defaultRowHeight="12" customHeight="1" x14ac:dyDescent="0"/>
  <cols>
    <col min="1" max="1" width="5.33203125" style="1" customWidth="1"/>
    <col min="2" max="2" width="21.1640625" style="1" customWidth="1"/>
    <col min="3" max="3" width="9.5" style="93" customWidth="1"/>
    <col min="4" max="12" width="8.83203125" style="93"/>
    <col min="13" max="16384" width="8.83203125" style="1"/>
  </cols>
  <sheetData>
    <row r="2" spans="2:12" ht="12" customHeight="1">
      <c r="B2" s="90" t="s">
        <v>142</v>
      </c>
    </row>
    <row r="3" spans="2:12" ht="12" customHeight="1" thickBot="1"/>
    <row r="4" spans="2:12" ht="12" customHeight="1" thickTop="1">
      <c r="B4" s="166" t="s">
        <v>139</v>
      </c>
      <c r="C4" s="167"/>
      <c r="D4" s="167"/>
      <c r="E4" s="167"/>
      <c r="F4" s="167"/>
      <c r="G4" s="167"/>
      <c r="H4" s="167"/>
      <c r="I4" s="167"/>
      <c r="J4" s="167"/>
      <c r="K4" s="167" t="s">
        <v>147</v>
      </c>
      <c r="L4" s="258">
        <f>Arealläckage!D10</f>
        <v>0.31</v>
      </c>
    </row>
    <row r="5" spans="2:12" ht="12" customHeight="1">
      <c r="B5" s="168" t="s">
        <v>108</v>
      </c>
      <c r="C5" s="169">
        <v>2310</v>
      </c>
      <c r="D5" s="169" t="s">
        <v>111</v>
      </c>
      <c r="E5" s="170"/>
      <c r="F5" s="170"/>
      <c r="G5" s="170"/>
      <c r="H5" s="170"/>
      <c r="I5" s="170"/>
      <c r="J5" s="170"/>
      <c r="K5" s="170"/>
      <c r="L5" s="171"/>
    </row>
    <row r="6" spans="2:12" ht="12" customHeight="1">
      <c r="B6" s="172"/>
      <c r="C6" s="165" t="s">
        <v>67</v>
      </c>
      <c r="D6" s="165" t="s">
        <v>68</v>
      </c>
      <c r="E6" s="165" t="s">
        <v>69</v>
      </c>
      <c r="F6" s="165" t="s">
        <v>70</v>
      </c>
      <c r="G6" s="165" t="s">
        <v>71</v>
      </c>
      <c r="H6" s="165" t="s">
        <v>72</v>
      </c>
      <c r="I6" s="165" t="s">
        <v>73</v>
      </c>
      <c r="J6" s="165" t="s">
        <v>8</v>
      </c>
      <c r="K6" s="165" t="s">
        <v>65</v>
      </c>
      <c r="L6" s="173" t="s">
        <v>66</v>
      </c>
    </row>
    <row r="7" spans="2:12" ht="12" customHeight="1">
      <c r="B7" s="172"/>
      <c r="C7" s="165" t="s">
        <v>109</v>
      </c>
      <c r="D7" s="165" t="s">
        <v>109</v>
      </c>
      <c r="E7" s="165" t="s">
        <v>109</v>
      </c>
      <c r="F7" s="165" t="s">
        <v>110</v>
      </c>
      <c r="G7" s="165" t="s">
        <v>110</v>
      </c>
      <c r="H7" s="165" t="s">
        <v>110</v>
      </c>
      <c r="I7" s="165" t="s">
        <v>110</v>
      </c>
      <c r="J7" s="165" t="s">
        <v>109</v>
      </c>
      <c r="K7" s="165" t="s">
        <v>109</v>
      </c>
      <c r="L7" s="173" t="s">
        <v>110</v>
      </c>
    </row>
    <row r="8" spans="2:12" ht="12" customHeight="1" thickBot="1">
      <c r="B8" s="174" t="s">
        <v>96</v>
      </c>
      <c r="C8" s="175">
        <f>($C5/10000)*Arealläckage!O10</f>
        <v>0.1246014</v>
      </c>
      <c r="D8" s="175">
        <f>($C5/10000)*Arealläckage!P10</f>
        <v>5.6070630000000003E-2</v>
      </c>
      <c r="E8" s="176">
        <f>($C5/10000)*Arealläckage!Q10</f>
        <v>1.6756739999999999</v>
      </c>
      <c r="F8" s="176">
        <f>($C5/10000)*Arealläckage!R10</f>
        <v>6.4448999999999996</v>
      </c>
      <c r="G8" s="176">
        <f>($C5/10000)*Arealläckage!S10</f>
        <v>2.57796</v>
      </c>
      <c r="H8" s="176">
        <f>($C5/10000)*Arealläckage!T10</f>
        <v>9.88218</v>
      </c>
      <c r="I8" s="176">
        <f>($C5/10000)*Arealläckage!U10</f>
        <v>3.4587629999999998</v>
      </c>
      <c r="J8" s="177">
        <f>($C5/10000)*Arealläckage!V10</f>
        <v>8.1635400000000011</v>
      </c>
      <c r="K8" s="175">
        <f>($C5/10000)*Arealläckage!W10</f>
        <v>0</v>
      </c>
      <c r="L8" s="183">
        <f>($C5/10000)*Arealläckage!X10</f>
        <v>0.81635400000000002</v>
      </c>
    </row>
    <row r="9" spans="2:12" ht="12" customHeight="1" thickTop="1">
      <c r="B9" s="3"/>
      <c r="C9" s="130"/>
      <c r="D9" s="130"/>
      <c r="E9" s="131"/>
      <c r="F9" s="132"/>
      <c r="G9" s="132"/>
      <c r="H9" s="132"/>
      <c r="I9" s="132"/>
      <c r="J9" s="132"/>
      <c r="K9" s="130"/>
      <c r="L9" s="131"/>
    </row>
    <row r="10" spans="2:12" ht="12" customHeight="1">
      <c r="B10" s="3"/>
      <c r="C10" s="130"/>
      <c r="D10" s="130"/>
      <c r="E10" s="131"/>
      <c r="F10" s="132"/>
      <c r="G10" s="132"/>
      <c r="H10" s="132"/>
      <c r="I10" s="132"/>
      <c r="J10" s="132"/>
      <c r="K10" s="130"/>
      <c r="L10" s="131"/>
    </row>
    <row r="13" spans="2:12" ht="12" customHeight="1">
      <c r="B13" s="159" t="s">
        <v>127</v>
      </c>
      <c r="C13" s="158"/>
      <c r="D13" s="158"/>
      <c r="E13" s="158"/>
      <c r="F13" s="158"/>
      <c r="G13" s="158"/>
      <c r="H13" s="158"/>
      <c r="I13" s="158"/>
      <c r="J13" s="158"/>
      <c r="K13" s="158" t="s">
        <v>147</v>
      </c>
      <c r="L13" s="162">
        <f>Arealläckage!D61</f>
        <v>0.8</v>
      </c>
    </row>
    <row r="14" spans="2:12" ht="12" customHeight="1">
      <c r="B14" s="160" t="s">
        <v>108</v>
      </c>
      <c r="C14" s="157">
        <v>851</v>
      </c>
      <c r="D14" s="157" t="s">
        <v>111</v>
      </c>
      <c r="E14" s="158"/>
      <c r="F14" s="158"/>
      <c r="G14" s="158"/>
      <c r="H14" s="158"/>
      <c r="I14" s="158"/>
      <c r="J14" s="158"/>
      <c r="K14" s="158"/>
      <c r="L14" s="158"/>
    </row>
    <row r="15" spans="2:12" ht="12" customHeight="1">
      <c r="B15" s="161"/>
      <c r="C15" s="97" t="s">
        <v>67</v>
      </c>
      <c r="D15" s="97" t="s">
        <v>68</v>
      </c>
      <c r="E15" s="97" t="s">
        <v>69</v>
      </c>
      <c r="F15" s="97" t="s">
        <v>70</v>
      </c>
      <c r="G15" s="97" t="s">
        <v>71</v>
      </c>
      <c r="H15" s="97" t="s">
        <v>72</v>
      </c>
      <c r="I15" s="97" t="s">
        <v>73</v>
      </c>
      <c r="J15" s="97" t="s">
        <v>8</v>
      </c>
      <c r="K15" s="97" t="s">
        <v>65</v>
      </c>
      <c r="L15" s="97" t="s">
        <v>66</v>
      </c>
    </row>
    <row r="16" spans="2:12" ht="12" customHeight="1">
      <c r="B16" s="161"/>
      <c r="C16" s="97" t="s">
        <v>109</v>
      </c>
      <c r="D16" s="97" t="s">
        <v>109</v>
      </c>
      <c r="E16" s="97" t="s">
        <v>109</v>
      </c>
      <c r="F16" s="97" t="s">
        <v>110</v>
      </c>
      <c r="G16" s="97" t="s">
        <v>110</v>
      </c>
      <c r="H16" s="97" t="s">
        <v>110</v>
      </c>
      <c r="I16" s="97" t="s">
        <v>110</v>
      </c>
      <c r="J16" s="97" t="s">
        <v>109</v>
      </c>
      <c r="K16" s="97" t="s">
        <v>109</v>
      </c>
      <c r="L16" s="97" t="s">
        <v>110</v>
      </c>
    </row>
    <row r="17" spans="2:12" ht="12" customHeight="1">
      <c r="B17" s="161" t="s">
        <v>96</v>
      </c>
      <c r="C17" s="162">
        <f>($C$14/10000)*Arealläckage!O61</f>
        <v>4.0847999999999995E-2</v>
      </c>
      <c r="D17" s="162">
        <f>($C$14/10000)*Arealläckage!P61</f>
        <v>1.8381599999999998E-2</v>
      </c>
      <c r="E17" s="163">
        <f>($C$14/10000)*Arealläckage!Q61</f>
        <v>0.77611199999999991</v>
      </c>
      <c r="F17" s="163">
        <f>($C$14/10000)*Arealläckage!R61</f>
        <v>6.5356799999999993</v>
      </c>
      <c r="G17" s="163">
        <f>($C$14/10000)*Arealläckage!S61</f>
        <v>2.6142719999999997</v>
      </c>
      <c r="H17" s="164">
        <f>($C$14/10000)*Arealläckage!T61</f>
        <v>11.845919999999998</v>
      </c>
      <c r="I17" s="163">
        <f>($C$14/10000)*Arealläckage!U61</f>
        <v>4.1460719999999993</v>
      </c>
      <c r="J17" s="164">
        <f>($C$14/10000)*Arealläckage!V61</f>
        <v>16.747679999999999</v>
      </c>
      <c r="K17" s="162">
        <f>($C$14/10000)*Arealläckage!W61</f>
        <v>0.14705279999999998</v>
      </c>
      <c r="L17" s="163">
        <f>($C$14/10000)*Arealläckage!X61</f>
        <v>0.24917279999999997</v>
      </c>
    </row>
    <row r="20" spans="2:12" ht="12" customHeight="1">
      <c r="B20" s="70"/>
      <c r="C20" s="72"/>
      <c r="D20" s="72"/>
      <c r="E20" s="72"/>
      <c r="F20" s="72"/>
      <c r="G20" s="72"/>
      <c r="H20" s="72"/>
      <c r="I20" s="72"/>
      <c r="J20" s="72"/>
      <c r="K20" s="72"/>
      <c r="L20" s="72"/>
    </row>
    <row r="21" spans="2:12" ht="12" customHeight="1" thickBot="1">
      <c r="B21" s="127"/>
      <c r="C21" s="128"/>
      <c r="D21" s="128"/>
      <c r="E21" s="72"/>
      <c r="F21" s="72"/>
      <c r="G21" s="72"/>
      <c r="H21" s="72"/>
      <c r="I21" s="72"/>
      <c r="J21" s="72"/>
      <c r="K21" s="72"/>
      <c r="L21" s="72"/>
    </row>
    <row r="22" spans="2:12" ht="12" customHeight="1">
      <c r="B22" s="215" t="s">
        <v>144</v>
      </c>
      <c r="C22" s="216"/>
      <c r="D22" s="216"/>
      <c r="E22" s="216"/>
      <c r="F22" s="216"/>
      <c r="G22" s="216"/>
      <c r="H22" s="216"/>
      <c r="I22" s="216"/>
      <c r="J22" s="216"/>
      <c r="K22" s="216" t="s">
        <v>147</v>
      </c>
      <c r="L22" s="260">
        <v>0.3</v>
      </c>
    </row>
    <row r="23" spans="2:12" ht="12" customHeight="1">
      <c r="B23" s="217" t="s">
        <v>108</v>
      </c>
      <c r="C23" s="218">
        <v>299</v>
      </c>
      <c r="D23" s="218" t="s">
        <v>111</v>
      </c>
      <c r="E23" s="219"/>
      <c r="F23" s="219"/>
      <c r="G23" s="219"/>
      <c r="H23" s="219"/>
      <c r="I23" s="219"/>
      <c r="J23" s="219"/>
      <c r="K23" s="219"/>
      <c r="L23" s="220"/>
    </row>
    <row r="24" spans="2:12" ht="12" customHeight="1">
      <c r="B24" s="221"/>
      <c r="C24" s="153" t="s">
        <v>67</v>
      </c>
      <c r="D24" s="153" t="s">
        <v>68</v>
      </c>
      <c r="E24" s="153" t="s">
        <v>69</v>
      </c>
      <c r="F24" s="153" t="s">
        <v>70</v>
      </c>
      <c r="G24" s="153" t="s">
        <v>71</v>
      </c>
      <c r="H24" s="153" t="s">
        <v>72</v>
      </c>
      <c r="I24" s="153" t="s">
        <v>73</v>
      </c>
      <c r="J24" s="153" t="s">
        <v>8</v>
      </c>
      <c r="K24" s="153" t="s">
        <v>65</v>
      </c>
      <c r="L24" s="222" t="s">
        <v>66</v>
      </c>
    </row>
    <row r="25" spans="2:12" ht="12" customHeight="1">
      <c r="B25" s="221"/>
      <c r="C25" s="153" t="s">
        <v>109</v>
      </c>
      <c r="D25" s="153" t="s">
        <v>109</v>
      </c>
      <c r="E25" s="153" t="s">
        <v>109</v>
      </c>
      <c r="F25" s="153" t="s">
        <v>110</v>
      </c>
      <c r="G25" s="153" t="s">
        <v>110</v>
      </c>
      <c r="H25" s="153" t="s">
        <v>110</v>
      </c>
      <c r="I25" s="153" t="s">
        <v>110</v>
      </c>
      <c r="J25" s="153" t="s">
        <v>109</v>
      </c>
      <c r="K25" s="153" t="s">
        <v>109</v>
      </c>
      <c r="L25" s="222" t="s">
        <v>110</v>
      </c>
    </row>
    <row r="26" spans="2:12" ht="12" customHeight="1">
      <c r="B26" s="221" t="s">
        <v>96</v>
      </c>
      <c r="C26" s="223">
        <f>$C$23/10000*Arealläckage!O62</f>
        <v>5.7407999999999999E-3</v>
      </c>
      <c r="D26" s="223">
        <f>$C$23/10000*Arealläckage!P62</f>
        <v>2.5833600000000003E-3</v>
      </c>
      <c r="E26" s="224">
        <f>$C$23/10000*Arealläckage!Q62</f>
        <v>0.32292000000000004</v>
      </c>
      <c r="F26" s="224">
        <f>$C$23/10000*Arealläckage!R62</f>
        <v>0.41261999999999999</v>
      </c>
      <c r="G26" s="224">
        <f>$C$23/10000*Arealläckage!S62</f>
        <v>0.165048</v>
      </c>
      <c r="H26" s="224">
        <f>$C$23/10000*Arealläckage!T62</f>
        <v>1.5248999999999999</v>
      </c>
      <c r="I26" s="224">
        <f>$C$23/10000*Arealläckage!U62</f>
        <v>0.53371499999999994</v>
      </c>
      <c r="J26" s="225">
        <f>$C$23/10000*Arealläckage!V62</f>
        <v>0</v>
      </c>
      <c r="K26" s="223">
        <f>$C$23/10000*Arealläckage!W62</f>
        <v>0</v>
      </c>
      <c r="L26" s="226">
        <f>$C$23/10000*Arealläckage!X62</f>
        <v>1.2558000000000003E-2</v>
      </c>
    </row>
    <row r="27" spans="2:12" ht="12" customHeight="1">
      <c r="B27" s="221" t="s">
        <v>145</v>
      </c>
      <c r="C27" s="223">
        <f>C17+C26</f>
        <v>4.6588799999999993E-2</v>
      </c>
      <c r="D27" s="223">
        <f t="shared" ref="D27:K27" si="0">D17+D26</f>
        <v>2.0964959999999998E-2</v>
      </c>
      <c r="E27" s="224">
        <f t="shared" si="0"/>
        <v>1.099032</v>
      </c>
      <c r="F27" s="224">
        <f t="shared" si="0"/>
        <v>6.9482999999999997</v>
      </c>
      <c r="G27" s="224">
        <f t="shared" si="0"/>
        <v>2.7793199999999998</v>
      </c>
      <c r="H27" s="225">
        <f t="shared" si="0"/>
        <v>13.370819999999998</v>
      </c>
      <c r="I27" s="224">
        <f t="shared" si="0"/>
        <v>4.6797869999999993</v>
      </c>
      <c r="J27" s="225">
        <f t="shared" si="0"/>
        <v>16.747679999999999</v>
      </c>
      <c r="K27" s="223">
        <f t="shared" si="0"/>
        <v>0.14705279999999998</v>
      </c>
      <c r="L27" s="224">
        <f>L17+L26</f>
        <v>0.26173079999999999</v>
      </c>
    </row>
    <row r="28" spans="2:12" ht="12" customHeight="1">
      <c r="B28" s="286" t="s">
        <v>114</v>
      </c>
      <c r="C28" s="287"/>
      <c r="D28" s="287"/>
      <c r="E28" s="287"/>
      <c r="F28" s="287"/>
      <c r="G28" s="287"/>
      <c r="H28" s="287"/>
      <c r="I28" s="287"/>
      <c r="J28" s="287"/>
      <c r="K28" s="287"/>
      <c r="L28" s="288"/>
    </row>
    <row r="29" spans="2:12" ht="12" customHeight="1">
      <c r="B29" s="221" t="s">
        <v>115</v>
      </c>
      <c r="C29" s="219">
        <f>Reningsgrader!C16</f>
        <v>55</v>
      </c>
      <c r="D29" s="219">
        <f>Reningsgrader!D16</f>
        <v>0</v>
      </c>
      <c r="E29" s="219">
        <f>Reningsgrader!E16</f>
        <v>40</v>
      </c>
      <c r="F29" s="225">
        <f>Reningsgrader!F16</f>
        <v>75</v>
      </c>
      <c r="G29" s="219">
        <f>Reningsgrader!G16</f>
        <v>40</v>
      </c>
      <c r="H29" s="225">
        <f>Reningsgrader!H16</f>
        <v>80</v>
      </c>
      <c r="I29" s="219">
        <f>Reningsgrader!I16</f>
        <v>40</v>
      </c>
      <c r="J29" s="219">
        <f>Reningsgrader!J16</f>
        <v>85</v>
      </c>
      <c r="K29" s="219">
        <f>Reningsgrader!K16</f>
        <v>75</v>
      </c>
      <c r="L29" s="219">
        <f>Reningsgrader!L16</f>
        <v>75</v>
      </c>
    </row>
    <row r="30" spans="2:12" ht="12" customHeight="1" thickBot="1">
      <c r="B30" s="227" t="s">
        <v>116</v>
      </c>
      <c r="C30" s="228">
        <f>(C26+C27)-(C29/100*0.9*(C26+C27))</f>
        <v>2.6426447999999991E-2</v>
      </c>
      <c r="D30" s="228">
        <f t="shared" ref="D30:L30" si="1">(D26+D27)-(D29/100*0.9*(D26+D27))</f>
        <v>2.3548319999999998E-2</v>
      </c>
      <c r="E30" s="229">
        <f t="shared" si="1"/>
        <v>0.91004927999999996</v>
      </c>
      <c r="F30" s="229">
        <f t="shared" si="1"/>
        <v>2.3922989999999995</v>
      </c>
      <c r="G30" s="229">
        <f t="shared" si="1"/>
        <v>1.8843955199999998</v>
      </c>
      <c r="H30" s="229">
        <f t="shared" si="1"/>
        <v>4.170801599999999</v>
      </c>
      <c r="I30" s="229">
        <f t="shared" si="1"/>
        <v>3.3366412799999994</v>
      </c>
      <c r="J30" s="229">
        <f t="shared" si="1"/>
        <v>3.9357047999999999</v>
      </c>
      <c r="K30" s="228">
        <f t="shared" si="1"/>
        <v>4.7792159999999986E-2</v>
      </c>
      <c r="L30" s="230">
        <f t="shared" si="1"/>
        <v>8.9143859999999991E-2</v>
      </c>
    </row>
    <row r="34" spans="2:12" ht="12" customHeight="1" thickBot="1"/>
    <row r="35" spans="2:12" ht="12" customHeight="1" thickTop="1">
      <c r="B35" s="133" t="s">
        <v>117</v>
      </c>
      <c r="C35" s="134"/>
      <c r="D35" s="134"/>
      <c r="E35" s="134"/>
      <c r="F35" s="134"/>
      <c r="G35" s="134"/>
      <c r="H35" s="134"/>
      <c r="I35" s="134"/>
      <c r="J35" s="134"/>
      <c r="K35" s="134" t="s">
        <v>147</v>
      </c>
      <c r="L35" s="255">
        <f>(L4*C5+C14*L13+C23*L22)/C36</f>
        <v>0.42965317919075147</v>
      </c>
    </row>
    <row r="36" spans="2:12" ht="12" customHeight="1">
      <c r="B36" s="135" t="s">
        <v>108</v>
      </c>
      <c r="C36" s="136">
        <f>C5+C14+C23</f>
        <v>3460</v>
      </c>
      <c r="D36" s="136" t="s">
        <v>111</v>
      </c>
      <c r="E36" s="77"/>
      <c r="F36" s="77"/>
      <c r="G36" s="77"/>
      <c r="H36" s="77"/>
      <c r="I36" s="77"/>
      <c r="J36" s="77"/>
      <c r="K36" s="77"/>
      <c r="L36" s="137"/>
    </row>
    <row r="37" spans="2:12" ht="12" customHeight="1">
      <c r="B37" s="138"/>
      <c r="C37" s="129" t="s">
        <v>67</v>
      </c>
      <c r="D37" s="129" t="s">
        <v>68</v>
      </c>
      <c r="E37" s="129" t="s">
        <v>69</v>
      </c>
      <c r="F37" s="129" t="s">
        <v>70</v>
      </c>
      <c r="G37" s="129" t="s">
        <v>71</v>
      </c>
      <c r="H37" s="129" t="s">
        <v>72</v>
      </c>
      <c r="I37" s="129" t="s">
        <v>73</v>
      </c>
      <c r="J37" s="129" t="s">
        <v>8</v>
      </c>
      <c r="K37" s="129" t="s">
        <v>65</v>
      </c>
      <c r="L37" s="139" t="s">
        <v>66</v>
      </c>
    </row>
    <row r="38" spans="2:12" ht="12" customHeight="1">
      <c r="B38" s="138"/>
      <c r="C38" s="129" t="s">
        <v>109</v>
      </c>
      <c r="D38" s="129" t="s">
        <v>109</v>
      </c>
      <c r="E38" s="129" t="s">
        <v>109</v>
      </c>
      <c r="F38" s="129" t="s">
        <v>110</v>
      </c>
      <c r="G38" s="129" t="s">
        <v>110</v>
      </c>
      <c r="H38" s="129" t="s">
        <v>110</v>
      </c>
      <c r="I38" s="129" t="s">
        <v>110</v>
      </c>
      <c r="J38" s="129" t="s">
        <v>109</v>
      </c>
      <c r="K38" s="129" t="s">
        <v>109</v>
      </c>
      <c r="L38" s="139" t="s">
        <v>110</v>
      </c>
    </row>
    <row r="39" spans="2:12" ht="12" customHeight="1">
      <c r="B39" s="138" t="s">
        <v>96</v>
      </c>
      <c r="C39" s="144">
        <f>C8+C30</f>
        <v>0.15102784799999999</v>
      </c>
      <c r="D39" s="144">
        <f t="shared" ref="D39:L39" si="2">D8+D30</f>
        <v>7.9618949999999994E-2</v>
      </c>
      <c r="E39" s="145">
        <f t="shared" si="2"/>
        <v>2.5857232799999998</v>
      </c>
      <c r="F39" s="146">
        <f t="shared" si="2"/>
        <v>8.8371989999999983</v>
      </c>
      <c r="G39" s="145">
        <f t="shared" si="2"/>
        <v>4.46235552</v>
      </c>
      <c r="H39" s="146">
        <f t="shared" si="2"/>
        <v>14.052981599999999</v>
      </c>
      <c r="I39" s="145">
        <f t="shared" si="2"/>
        <v>6.7954042799999996</v>
      </c>
      <c r="J39" s="146">
        <f t="shared" si="2"/>
        <v>12.099244800000001</v>
      </c>
      <c r="K39" s="144">
        <f t="shared" si="2"/>
        <v>4.7792159999999986E-2</v>
      </c>
      <c r="L39" s="147">
        <f t="shared" si="2"/>
        <v>0.90549785999999999</v>
      </c>
    </row>
    <row r="40" spans="2:12" ht="12" customHeight="1">
      <c r="B40" s="138" t="s">
        <v>118</v>
      </c>
      <c r="C40" s="144">
        <f>C39*(10000/$C$36)</f>
        <v>0.43649667052023122</v>
      </c>
      <c r="D40" s="144">
        <f t="shared" ref="D40:L40" si="3">D39*(10000/$C$36)</f>
        <v>0.23011257225433526</v>
      </c>
      <c r="E40" s="145">
        <f t="shared" si="3"/>
        <v>7.4731886705202308</v>
      </c>
      <c r="F40" s="146">
        <f t="shared" si="3"/>
        <v>25.541037572254332</v>
      </c>
      <c r="G40" s="145">
        <f t="shared" si="3"/>
        <v>12.896981271676301</v>
      </c>
      <c r="H40" s="146">
        <f t="shared" si="3"/>
        <v>40.615553757225435</v>
      </c>
      <c r="I40" s="146">
        <f t="shared" si="3"/>
        <v>19.63989676300578</v>
      </c>
      <c r="J40" s="146">
        <f t="shared" si="3"/>
        <v>34.96891560693642</v>
      </c>
      <c r="K40" s="144">
        <f t="shared" si="3"/>
        <v>0.13812763005780343</v>
      </c>
      <c r="L40" s="147">
        <f t="shared" si="3"/>
        <v>2.6170458381502892</v>
      </c>
    </row>
    <row r="41" spans="2:12" ht="12" customHeight="1">
      <c r="B41" s="281" t="s">
        <v>119</v>
      </c>
      <c r="C41" s="129" t="s">
        <v>120</v>
      </c>
      <c r="D41" s="129" t="s">
        <v>120</v>
      </c>
      <c r="E41" s="129" t="s">
        <v>120</v>
      </c>
      <c r="F41" s="129" t="s">
        <v>121</v>
      </c>
      <c r="G41" s="129" t="s">
        <v>121</v>
      </c>
      <c r="H41" s="129" t="s">
        <v>121</v>
      </c>
      <c r="I41" s="129" t="s">
        <v>121</v>
      </c>
      <c r="J41" s="129" t="s">
        <v>120</v>
      </c>
      <c r="K41" s="129" t="s">
        <v>120</v>
      </c>
      <c r="L41" s="139" t="s">
        <v>121</v>
      </c>
    </row>
    <row r="42" spans="2:12" ht="12" customHeight="1" thickBot="1">
      <c r="B42" s="282"/>
      <c r="C42" s="140">
        <f>C40*100/($L$35*Intro!$B$11)</f>
        <v>0.16932132382618054</v>
      </c>
      <c r="D42" s="140">
        <f>D40*100/($L$35*Intro!$B$11)</f>
        <v>8.9262915377371174E-2</v>
      </c>
      <c r="E42" s="141">
        <f>E40*100/($L$35*Intro!$B$11)</f>
        <v>2.8989229113413151</v>
      </c>
      <c r="F42" s="142">
        <f>F40*100/($L$35*Intro!$B$11)</f>
        <v>9.9076180546212811</v>
      </c>
      <c r="G42" s="141">
        <f>G40*100/($L$35*Intro!$B$11)</f>
        <v>5.0028650612135079</v>
      </c>
      <c r="H42" s="142">
        <f>H40*100/($L$35*Intro!$B$11)</f>
        <v>15.7551701870039</v>
      </c>
      <c r="I42" s="141">
        <f>I40*100/($L$35*Intro!$B$11)</f>
        <v>7.6185078703080844</v>
      </c>
      <c r="J42" s="142">
        <f>J40*100/($L$35*Intro!$B$11)</f>
        <v>13.564784071034577</v>
      </c>
      <c r="K42" s="140">
        <f>K40*100/($L$35*Intro!$B$11)</f>
        <v>5.3581057446522251E-2</v>
      </c>
      <c r="L42" s="143">
        <f>L40*100/($L$35*Intro!$B$11)</f>
        <v>1.0151776537064443</v>
      </c>
    </row>
    <row r="43" spans="2:12" ht="12" customHeight="1" thickTop="1"/>
    <row r="44" spans="2:12" ht="12" hidden="1" customHeight="1">
      <c r="B44" s="2" t="s">
        <v>122</v>
      </c>
    </row>
    <row r="45" spans="2:12" ht="12" hidden="1" customHeight="1">
      <c r="B45" s="1" t="s">
        <v>123</v>
      </c>
      <c r="C45" s="92">
        <f>(C5*Arealläckage!D10+'3a'!C14*Arealläckage!D61+'3a'!C23)/'3a'!C36</f>
        <v>0.49014450867052028</v>
      </c>
    </row>
    <row r="46" spans="2:12" ht="12" hidden="1" customHeight="1">
      <c r="B46" s="1" t="s">
        <v>124</v>
      </c>
      <c r="C46" s="94">
        <f>C45*600</f>
        <v>294.08670520231215</v>
      </c>
      <c r="D46" s="93" t="s">
        <v>101</v>
      </c>
    </row>
    <row r="47" spans="2:12" ht="12" hidden="1" customHeight="1">
      <c r="C47" s="181">
        <f>C46*10000</f>
        <v>2940867.0520231216</v>
      </c>
      <c r="D47" s="93" t="s">
        <v>125</v>
      </c>
    </row>
  </sheetData>
  <mergeCells count="2">
    <mergeCell ref="B28:L28"/>
    <mergeCell ref="B41:B42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38"/>
  <sheetViews>
    <sheetView zoomScale="90" zoomScaleNormal="90" zoomScalePageLayoutView="90" workbookViewId="0">
      <selection activeCell="D20" sqref="D20"/>
    </sheetView>
  </sheetViews>
  <sheetFormatPr baseColWidth="10" defaultColWidth="8.83203125" defaultRowHeight="12" customHeight="1" x14ac:dyDescent="0"/>
  <cols>
    <col min="1" max="1" width="5.33203125" style="1" customWidth="1"/>
    <col min="2" max="2" width="21.1640625" style="1" customWidth="1"/>
    <col min="3" max="3" width="9.5" style="93" customWidth="1"/>
    <col min="4" max="12" width="8.83203125" style="93"/>
    <col min="13" max="16384" width="8.83203125" style="1"/>
  </cols>
  <sheetData>
    <row r="2" spans="2:12" ht="12" customHeight="1">
      <c r="B2" s="90" t="s">
        <v>143</v>
      </c>
    </row>
    <row r="3" spans="2:12" ht="12" customHeight="1" thickBot="1"/>
    <row r="4" spans="2:12" ht="12" customHeight="1" thickTop="1">
      <c r="B4" s="105" t="s">
        <v>112</v>
      </c>
      <c r="C4" s="106"/>
      <c r="D4" s="106"/>
      <c r="E4" s="106"/>
      <c r="F4" s="106"/>
      <c r="G4" s="106"/>
      <c r="H4" s="106"/>
      <c r="I4" s="106"/>
      <c r="J4" s="106"/>
      <c r="K4" s="106" t="s">
        <v>147</v>
      </c>
      <c r="L4" s="254">
        <f>Arealläckage!D23</f>
        <v>0.9</v>
      </c>
    </row>
    <row r="5" spans="2:12" ht="12" customHeight="1">
      <c r="B5" s="107" t="s">
        <v>108</v>
      </c>
      <c r="C5" s="109">
        <v>2310</v>
      </c>
      <c r="D5" s="109" t="s">
        <v>111</v>
      </c>
      <c r="E5" s="108"/>
      <c r="F5" s="108"/>
      <c r="G5" s="108"/>
      <c r="H5" s="108"/>
      <c r="I5" s="108"/>
      <c r="J5" s="108"/>
      <c r="K5" s="108"/>
      <c r="L5" s="110"/>
    </row>
    <row r="6" spans="2:12" ht="12" customHeight="1">
      <c r="B6" s="111"/>
      <c r="C6" s="104" t="s">
        <v>67</v>
      </c>
      <c r="D6" s="104" t="s">
        <v>68</v>
      </c>
      <c r="E6" s="104" t="s">
        <v>69</v>
      </c>
      <c r="F6" s="104" t="s">
        <v>70</v>
      </c>
      <c r="G6" s="104" t="s">
        <v>71</v>
      </c>
      <c r="H6" s="104" t="s">
        <v>72</v>
      </c>
      <c r="I6" s="104" t="s">
        <v>73</v>
      </c>
      <c r="J6" s="104" t="s">
        <v>8</v>
      </c>
      <c r="K6" s="104" t="s">
        <v>65</v>
      </c>
      <c r="L6" s="112" t="s">
        <v>66</v>
      </c>
    </row>
    <row r="7" spans="2:12" ht="12" customHeight="1">
      <c r="B7" s="111"/>
      <c r="C7" s="104" t="s">
        <v>109</v>
      </c>
      <c r="D7" s="104" t="s">
        <v>109</v>
      </c>
      <c r="E7" s="104" t="s">
        <v>109</v>
      </c>
      <c r="F7" s="104" t="s">
        <v>110</v>
      </c>
      <c r="G7" s="104" t="s">
        <v>110</v>
      </c>
      <c r="H7" s="104" t="s">
        <v>110</v>
      </c>
      <c r="I7" s="104" t="s">
        <v>110</v>
      </c>
      <c r="J7" s="104" t="s">
        <v>109</v>
      </c>
      <c r="K7" s="104" t="s">
        <v>109</v>
      </c>
      <c r="L7" s="112" t="s">
        <v>110</v>
      </c>
    </row>
    <row r="8" spans="2:12" ht="12" customHeight="1" thickBot="1">
      <c r="B8" s="113" t="s">
        <v>96</v>
      </c>
      <c r="C8" s="114">
        <f>$C$5/10000*Arealläckage!O23</f>
        <v>0.112266</v>
      </c>
      <c r="D8" s="114">
        <f>$C$5/10000*Arealläckage!P23</f>
        <v>5.0519700000000001E-2</v>
      </c>
      <c r="E8" s="115">
        <f>$C$5/10000*Arealläckage!Q23</f>
        <v>2.2453200000000004</v>
      </c>
      <c r="F8" s="115">
        <f>$C$5/10000*Arealläckage!R23</f>
        <v>9.355500000000001</v>
      </c>
      <c r="G8" s="115">
        <f>$C$5/10000*Arealläckage!S23</f>
        <v>3.7422</v>
      </c>
      <c r="H8" s="116">
        <f>$C$5/10000*Arealläckage!T23</f>
        <v>34.927199999999999</v>
      </c>
      <c r="I8" s="116">
        <f>$C$5/10000*Arealläckage!U23</f>
        <v>12.22452</v>
      </c>
      <c r="J8" s="116">
        <f>$C$5/10000*Arealläckage!V23</f>
        <v>31.185000000000002</v>
      </c>
      <c r="K8" s="114">
        <f>$C$5/10000*Arealläckage!W23</f>
        <v>0</v>
      </c>
      <c r="L8" s="117">
        <f>$C$5/10000*Arealläckage!X23</f>
        <v>0.54885600000000001</v>
      </c>
    </row>
    <row r="9" spans="2:12" ht="12" customHeight="1" thickTop="1"/>
    <row r="11" spans="2:12" ht="12" customHeight="1">
      <c r="B11" s="70"/>
      <c r="C11" s="72"/>
      <c r="D11" s="72"/>
      <c r="E11" s="72"/>
      <c r="F11" s="72"/>
      <c r="G11" s="72"/>
      <c r="H11" s="72"/>
      <c r="I11" s="72"/>
      <c r="J11" s="72"/>
      <c r="K11" s="72"/>
      <c r="L11" s="72"/>
    </row>
    <row r="12" spans="2:12" ht="12" customHeight="1" thickBot="1">
      <c r="B12" s="127"/>
      <c r="C12" s="128"/>
      <c r="D12" s="128"/>
      <c r="E12" s="72"/>
      <c r="F12" s="72"/>
      <c r="G12" s="72"/>
      <c r="H12" s="72"/>
      <c r="I12" s="72"/>
      <c r="J12" s="72"/>
      <c r="K12" s="72"/>
      <c r="L12" s="72"/>
    </row>
    <row r="13" spans="2:12" ht="12" customHeight="1">
      <c r="B13" s="231" t="s">
        <v>146</v>
      </c>
      <c r="C13" s="232"/>
      <c r="D13" s="232"/>
      <c r="E13" s="232"/>
      <c r="F13" s="232"/>
      <c r="G13" s="232"/>
      <c r="H13" s="232"/>
      <c r="I13" s="232"/>
      <c r="J13" s="232"/>
      <c r="K13" s="232" t="s">
        <v>147</v>
      </c>
      <c r="L13" s="261">
        <v>0.5</v>
      </c>
    </row>
    <row r="14" spans="2:12" ht="12" customHeight="1">
      <c r="B14" s="233" t="s">
        <v>108</v>
      </c>
      <c r="C14" s="109">
        <v>1150</v>
      </c>
      <c r="D14" s="109" t="s">
        <v>111</v>
      </c>
      <c r="E14" s="108"/>
      <c r="F14" s="108"/>
      <c r="G14" s="108"/>
      <c r="H14" s="108"/>
      <c r="I14" s="108"/>
      <c r="J14" s="108"/>
      <c r="K14" s="108"/>
      <c r="L14" s="234"/>
    </row>
    <row r="15" spans="2:12" ht="12" customHeight="1">
      <c r="B15" s="235"/>
      <c r="C15" s="104" t="s">
        <v>67</v>
      </c>
      <c r="D15" s="104" t="s">
        <v>68</v>
      </c>
      <c r="E15" s="104" t="s">
        <v>69</v>
      </c>
      <c r="F15" s="104" t="s">
        <v>70</v>
      </c>
      <c r="G15" s="104" t="s">
        <v>71</v>
      </c>
      <c r="H15" s="104" t="s">
        <v>72</v>
      </c>
      <c r="I15" s="104" t="s">
        <v>73</v>
      </c>
      <c r="J15" s="104" t="s">
        <v>8</v>
      </c>
      <c r="K15" s="104" t="s">
        <v>65</v>
      </c>
      <c r="L15" s="236" t="s">
        <v>66</v>
      </c>
    </row>
    <row r="16" spans="2:12" ht="12" customHeight="1">
      <c r="B16" s="235"/>
      <c r="C16" s="104" t="s">
        <v>109</v>
      </c>
      <c r="D16" s="104" t="s">
        <v>109</v>
      </c>
      <c r="E16" s="104" t="s">
        <v>109</v>
      </c>
      <c r="F16" s="104" t="s">
        <v>110</v>
      </c>
      <c r="G16" s="104" t="s">
        <v>110</v>
      </c>
      <c r="H16" s="104" t="s">
        <v>110</v>
      </c>
      <c r="I16" s="104" t="s">
        <v>110</v>
      </c>
      <c r="J16" s="104" t="s">
        <v>109</v>
      </c>
      <c r="K16" s="104" t="s">
        <v>109</v>
      </c>
      <c r="L16" s="236" t="s">
        <v>110</v>
      </c>
    </row>
    <row r="17" spans="2:12" ht="12" customHeight="1">
      <c r="B17" s="235" t="s">
        <v>96</v>
      </c>
      <c r="C17" s="197">
        <f>$C$14/10000*Arealläckage!O62</f>
        <v>2.2080000000000002E-2</v>
      </c>
      <c r="D17" s="197">
        <f>$C$14/10000*Arealläckage!P62</f>
        <v>9.9360000000000004E-3</v>
      </c>
      <c r="E17" s="198">
        <f>$C$14/10000*Arealläckage!Q62</f>
        <v>1.2420000000000002</v>
      </c>
      <c r="F17" s="198">
        <f>$C$14/10000*Arealläckage!R62</f>
        <v>1.5870000000000002</v>
      </c>
      <c r="G17" s="198">
        <f>$C$14/10000*Arealläckage!S62</f>
        <v>0.63480000000000003</v>
      </c>
      <c r="H17" s="198">
        <f>$C$14/10000*Arealläckage!T62</f>
        <v>5.8650000000000002</v>
      </c>
      <c r="I17" s="198">
        <f>$C$14/10000*Arealläckage!U62</f>
        <v>2.0527499999999996</v>
      </c>
      <c r="J17" s="199">
        <f>$C$14/10000*Arealläckage!V62</f>
        <v>0</v>
      </c>
      <c r="K17" s="197">
        <f>$C$14/10000*Arealläckage!W62</f>
        <v>0</v>
      </c>
      <c r="L17" s="237">
        <f>$C$14/10000*Arealläckage!X62</f>
        <v>4.8300000000000017E-2</v>
      </c>
    </row>
    <row r="18" spans="2:12" ht="12" customHeight="1">
      <c r="B18" s="235" t="s">
        <v>131</v>
      </c>
      <c r="C18" s="197">
        <f>C8</f>
        <v>0.112266</v>
      </c>
      <c r="D18" s="197">
        <f t="shared" ref="D18:L18" si="0">D8</f>
        <v>5.0519700000000001E-2</v>
      </c>
      <c r="E18" s="198">
        <f t="shared" si="0"/>
        <v>2.2453200000000004</v>
      </c>
      <c r="F18" s="198">
        <f t="shared" si="0"/>
        <v>9.355500000000001</v>
      </c>
      <c r="G18" s="198">
        <f t="shared" si="0"/>
        <v>3.7422</v>
      </c>
      <c r="H18" s="199">
        <f t="shared" si="0"/>
        <v>34.927199999999999</v>
      </c>
      <c r="I18" s="198">
        <f t="shared" si="0"/>
        <v>12.22452</v>
      </c>
      <c r="J18" s="199">
        <f t="shared" si="0"/>
        <v>31.185000000000002</v>
      </c>
      <c r="K18" s="197">
        <f t="shared" si="0"/>
        <v>0</v>
      </c>
      <c r="L18" s="237">
        <f t="shared" si="0"/>
        <v>0.54885600000000001</v>
      </c>
    </row>
    <row r="19" spans="2:12" ht="12" customHeight="1">
      <c r="B19" s="289" t="s">
        <v>114</v>
      </c>
      <c r="C19" s="290"/>
      <c r="D19" s="290"/>
      <c r="E19" s="290"/>
      <c r="F19" s="290"/>
      <c r="G19" s="290"/>
      <c r="H19" s="290"/>
      <c r="I19" s="290"/>
      <c r="J19" s="290"/>
      <c r="K19" s="290"/>
      <c r="L19" s="291"/>
    </row>
    <row r="20" spans="2:12" ht="12" customHeight="1">
      <c r="B20" s="235" t="s">
        <v>115</v>
      </c>
      <c r="C20" s="108">
        <f>Reningsgrader!C16</f>
        <v>55</v>
      </c>
      <c r="D20" s="108">
        <f>Reningsgrader!D16</f>
        <v>0</v>
      </c>
      <c r="E20" s="108">
        <f>Reningsgrader!E16</f>
        <v>40</v>
      </c>
      <c r="F20" s="199">
        <f>Reningsgrader!F16</f>
        <v>75</v>
      </c>
      <c r="G20" s="108">
        <f>Reningsgrader!G16</f>
        <v>40</v>
      </c>
      <c r="H20" s="199">
        <f>Reningsgrader!H16</f>
        <v>80</v>
      </c>
      <c r="I20" s="108">
        <f>Reningsgrader!I16</f>
        <v>40</v>
      </c>
      <c r="J20" s="108">
        <f>Reningsgrader!J16</f>
        <v>85</v>
      </c>
      <c r="K20" s="108">
        <f>Reningsgrader!K16</f>
        <v>75</v>
      </c>
      <c r="L20" s="234">
        <f>Reningsgrader!L16</f>
        <v>75</v>
      </c>
    </row>
    <row r="21" spans="2:12" ht="12" customHeight="1" thickBot="1">
      <c r="B21" s="238" t="s">
        <v>116</v>
      </c>
      <c r="C21" s="239">
        <f>(C17+C18)-(C20/100*0.9*(C17+C18))</f>
        <v>6.7844730000000006E-2</v>
      </c>
      <c r="D21" s="239">
        <f t="shared" ref="D21:L21" si="1">(D17+D18)-(D20/100*0.9*(D17+D18))</f>
        <v>6.0455700000000001E-2</v>
      </c>
      <c r="E21" s="240">
        <f t="shared" si="1"/>
        <v>2.2318848000000004</v>
      </c>
      <c r="F21" s="240">
        <f t="shared" si="1"/>
        <v>3.5563124999999998</v>
      </c>
      <c r="G21" s="240">
        <f t="shared" si="1"/>
        <v>2.8012799999999998</v>
      </c>
      <c r="H21" s="242">
        <f t="shared" si="1"/>
        <v>11.421815999999996</v>
      </c>
      <c r="I21" s="240">
        <f t="shared" si="1"/>
        <v>9.1374527999999984</v>
      </c>
      <c r="J21" s="242">
        <f t="shared" si="1"/>
        <v>7.328475000000001</v>
      </c>
      <c r="K21" s="239">
        <f t="shared" si="1"/>
        <v>0</v>
      </c>
      <c r="L21" s="241">
        <f t="shared" si="1"/>
        <v>0.19407569999999996</v>
      </c>
    </row>
    <row r="25" spans="2:12" ht="12" customHeight="1" thickBot="1"/>
    <row r="26" spans="2:12" ht="12" customHeight="1" thickTop="1">
      <c r="B26" s="133" t="s">
        <v>117</v>
      </c>
      <c r="C26" s="134"/>
      <c r="D26" s="134"/>
      <c r="E26" s="134"/>
      <c r="F26" s="134"/>
      <c r="G26" s="134"/>
      <c r="H26" s="134"/>
      <c r="I26" s="134"/>
      <c r="J26" s="134"/>
      <c r="K26" s="134" t="s">
        <v>147</v>
      </c>
      <c r="L26" s="255">
        <f>(C5*L4+L13*C14)/C27</f>
        <v>0.76705202312138732</v>
      </c>
    </row>
    <row r="27" spans="2:12" ht="12" customHeight="1">
      <c r="B27" s="135" t="s">
        <v>108</v>
      </c>
      <c r="C27" s="136">
        <f>C5+C14</f>
        <v>3460</v>
      </c>
      <c r="D27" s="136" t="s">
        <v>111</v>
      </c>
      <c r="E27" s="77"/>
      <c r="F27" s="77"/>
      <c r="G27" s="77"/>
      <c r="H27" s="77"/>
      <c r="I27" s="77"/>
      <c r="J27" s="77"/>
      <c r="K27" s="77"/>
      <c r="L27" s="137"/>
    </row>
    <row r="28" spans="2:12" ht="12" customHeight="1">
      <c r="B28" s="138"/>
      <c r="C28" s="129" t="s">
        <v>67</v>
      </c>
      <c r="D28" s="129" t="s">
        <v>68</v>
      </c>
      <c r="E28" s="129" t="s">
        <v>69</v>
      </c>
      <c r="F28" s="129" t="s">
        <v>70</v>
      </c>
      <c r="G28" s="129" t="s">
        <v>71</v>
      </c>
      <c r="H28" s="129" t="s">
        <v>72</v>
      </c>
      <c r="I28" s="129" t="s">
        <v>73</v>
      </c>
      <c r="J28" s="129" t="s">
        <v>8</v>
      </c>
      <c r="K28" s="129" t="s">
        <v>65</v>
      </c>
      <c r="L28" s="139" t="s">
        <v>66</v>
      </c>
    </row>
    <row r="29" spans="2:12" ht="12" customHeight="1">
      <c r="B29" s="138"/>
      <c r="C29" s="129" t="s">
        <v>109</v>
      </c>
      <c r="D29" s="129" t="s">
        <v>109</v>
      </c>
      <c r="E29" s="129" t="s">
        <v>109</v>
      </c>
      <c r="F29" s="129" t="s">
        <v>110</v>
      </c>
      <c r="G29" s="129" t="s">
        <v>110</v>
      </c>
      <c r="H29" s="129" t="s">
        <v>110</v>
      </c>
      <c r="I29" s="129" t="s">
        <v>110</v>
      </c>
      <c r="J29" s="129" t="s">
        <v>109</v>
      </c>
      <c r="K29" s="129" t="s">
        <v>109</v>
      </c>
      <c r="L29" s="139" t="s">
        <v>110</v>
      </c>
    </row>
    <row r="30" spans="2:12" ht="12" customHeight="1">
      <c r="B30" s="138" t="s">
        <v>96</v>
      </c>
      <c r="C30" s="144">
        <f>C21</f>
        <v>6.7844730000000006E-2</v>
      </c>
      <c r="D30" s="144">
        <f t="shared" ref="D30:L30" si="2">D21</f>
        <v>6.0455700000000001E-2</v>
      </c>
      <c r="E30" s="145">
        <f t="shared" si="2"/>
        <v>2.2318848000000004</v>
      </c>
      <c r="F30" s="145">
        <f t="shared" si="2"/>
        <v>3.5563124999999998</v>
      </c>
      <c r="G30" s="145">
        <f t="shared" si="2"/>
        <v>2.8012799999999998</v>
      </c>
      <c r="H30" s="146">
        <f t="shared" si="2"/>
        <v>11.421815999999996</v>
      </c>
      <c r="I30" s="145">
        <f t="shared" si="2"/>
        <v>9.1374527999999984</v>
      </c>
      <c r="J30" s="146">
        <f t="shared" si="2"/>
        <v>7.328475000000001</v>
      </c>
      <c r="K30" s="144">
        <f t="shared" si="2"/>
        <v>0</v>
      </c>
      <c r="L30" s="262">
        <f t="shared" si="2"/>
        <v>0.19407569999999996</v>
      </c>
    </row>
    <row r="31" spans="2:12" ht="12" customHeight="1">
      <c r="B31" s="138" t="s">
        <v>118</v>
      </c>
      <c r="C31" s="144">
        <f>C30*(10000/$C$27)</f>
        <v>0.19608303468208094</v>
      </c>
      <c r="D31" s="144">
        <f t="shared" ref="D31:L31" si="3">D30*(10000/$C$27)</f>
        <v>0.17472745664739886</v>
      </c>
      <c r="E31" s="145">
        <f t="shared" si="3"/>
        <v>6.4505341040462447</v>
      </c>
      <c r="F31" s="146">
        <f t="shared" si="3"/>
        <v>10.278359826589595</v>
      </c>
      <c r="G31" s="145">
        <f t="shared" si="3"/>
        <v>8.0961849710982658</v>
      </c>
      <c r="H31" s="146">
        <f t="shared" si="3"/>
        <v>33.011028901734093</v>
      </c>
      <c r="I31" s="146">
        <f t="shared" si="3"/>
        <v>26.408823121387279</v>
      </c>
      <c r="J31" s="146">
        <f t="shared" si="3"/>
        <v>21.180563583815033</v>
      </c>
      <c r="K31" s="144">
        <f t="shared" si="3"/>
        <v>0</v>
      </c>
      <c r="L31" s="147">
        <f t="shared" si="3"/>
        <v>0.56091242774566463</v>
      </c>
    </row>
    <row r="32" spans="2:12" ht="12" customHeight="1">
      <c r="B32" s="281" t="s">
        <v>119</v>
      </c>
      <c r="C32" s="129" t="s">
        <v>120</v>
      </c>
      <c r="D32" s="129" t="s">
        <v>120</v>
      </c>
      <c r="E32" s="129" t="s">
        <v>120</v>
      </c>
      <c r="F32" s="129" t="s">
        <v>121</v>
      </c>
      <c r="G32" s="129" t="s">
        <v>121</v>
      </c>
      <c r="H32" s="129" t="s">
        <v>121</v>
      </c>
      <c r="I32" s="129" t="s">
        <v>121</v>
      </c>
      <c r="J32" s="129" t="s">
        <v>120</v>
      </c>
      <c r="K32" s="129" t="s">
        <v>120</v>
      </c>
      <c r="L32" s="139" t="s">
        <v>121</v>
      </c>
    </row>
    <row r="33" spans="2:12" ht="12" customHeight="1" thickBot="1">
      <c r="B33" s="282"/>
      <c r="C33" s="140">
        <f>C31*100/($L$26*Intro!$B$11)</f>
        <v>4.2605331574981163E-2</v>
      </c>
      <c r="D33" s="140">
        <f>D31*100/($L$26*Intro!$B$11)</f>
        <v>3.7965146948003015E-2</v>
      </c>
      <c r="E33" s="140">
        <f>E31*100/($L$26*Intro!$B$11)</f>
        <v>1.4015855312735499</v>
      </c>
      <c r="F33" s="140">
        <f>F31*100/($L$26*Intro!$B$11)</f>
        <v>2.2333035041446871</v>
      </c>
      <c r="G33" s="140">
        <f>G31*100/($L$26*Intro!$B$11)</f>
        <v>1.7591559909570458</v>
      </c>
      <c r="H33" s="140">
        <f>H31*100/($L$26*Intro!$B$11)</f>
        <v>7.1727053504144669</v>
      </c>
      <c r="I33" s="140">
        <f>I31*100/($L$26*Intro!$B$11)</f>
        <v>5.7381642803315733</v>
      </c>
      <c r="J33" s="140">
        <f>J31*100/($L$26*Intro!$B$11)</f>
        <v>4.6021571213263011</v>
      </c>
      <c r="K33" s="140">
        <f>K31*100/($L$26*Intro!$B$11)</f>
        <v>0</v>
      </c>
      <c r="L33" s="257">
        <f>L31*100/($L$26*Intro!$B$11)</f>
        <v>0.12187622456669175</v>
      </c>
    </row>
    <row r="34" spans="2:12" ht="12" customHeight="1" thickTop="1"/>
    <row r="35" spans="2:12" ht="12" hidden="1" customHeight="1">
      <c r="B35" s="2" t="s">
        <v>122</v>
      </c>
    </row>
    <row r="36" spans="2:12" ht="12" hidden="1" customHeight="1">
      <c r="B36" s="1" t="s">
        <v>123</v>
      </c>
      <c r="C36" s="92">
        <f>(C14+C5*Arealläckage!D23)/C27</f>
        <v>0.93323699421965323</v>
      </c>
    </row>
    <row r="37" spans="2:12" ht="12" hidden="1" customHeight="1">
      <c r="B37" s="1" t="s">
        <v>124</v>
      </c>
      <c r="C37" s="94">
        <f>C36*600</f>
        <v>559.94219653179198</v>
      </c>
      <c r="D37" s="93" t="s">
        <v>101</v>
      </c>
    </row>
    <row r="38" spans="2:12" ht="12" hidden="1" customHeight="1">
      <c r="C38" s="181">
        <f>C37*10000</f>
        <v>5599421.9653179199</v>
      </c>
      <c r="D38" s="93" t="s">
        <v>125</v>
      </c>
    </row>
  </sheetData>
  <mergeCells count="2">
    <mergeCell ref="B19:L19"/>
    <mergeCell ref="B32:B33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44"/>
  <sheetViews>
    <sheetView zoomScale="90" zoomScaleNormal="90" zoomScalePageLayoutView="90" workbookViewId="0">
      <selection activeCell="D21" sqref="D21"/>
    </sheetView>
  </sheetViews>
  <sheetFormatPr baseColWidth="10" defaultColWidth="8.83203125" defaultRowHeight="12" customHeight="1" x14ac:dyDescent="0"/>
  <cols>
    <col min="1" max="1" width="5.33203125" style="1" customWidth="1"/>
    <col min="2" max="2" width="21.1640625" style="1" customWidth="1"/>
    <col min="3" max="3" width="9.5" style="93" customWidth="1"/>
    <col min="4" max="12" width="8.83203125" style="93"/>
    <col min="13" max="16384" width="8.83203125" style="1"/>
  </cols>
  <sheetData>
    <row r="2" spans="2:12" ht="12" customHeight="1">
      <c r="B2" s="90" t="s">
        <v>140</v>
      </c>
    </row>
    <row r="3" spans="2:12" ht="12" customHeight="1">
      <c r="B3" s="67" t="s">
        <v>129</v>
      </c>
    </row>
    <row r="5" spans="2:12" ht="12" customHeight="1">
      <c r="B5" s="159" t="s">
        <v>127</v>
      </c>
      <c r="C5" s="158"/>
      <c r="D5" s="158"/>
      <c r="E5" s="158"/>
      <c r="F5" s="158"/>
      <c r="G5" s="158"/>
      <c r="H5" s="158"/>
      <c r="I5" s="158"/>
      <c r="J5" s="158"/>
      <c r="K5" s="158" t="s">
        <v>147</v>
      </c>
      <c r="L5" s="162">
        <f>Arealläckage!D61</f>
        <v>0.8</v>
      </c>
    </row>
    <row r="6" spans="2:12" ht="12" customHeight="1">
      <c r="B6" s="160" t="s">
        <v>108</v>
      </c>
      <c r="C6" s="157">
        <v>148</v>
      </c>
      <c r="D6" s="157" t="s">
        <v>111</v>
      </c>
      <c r="E6" s="158"/>
      <c r="F6" s="158"/>
      <c r="G6" s="158"/>
      <c r="H6" s="158"/>
      <c r="I6" s="158"/>
      <c r="J6" s="158"/>
      <c r="K6" s="158"/>
      <c r="L6" s="158"/>
    </row>
    <row r="7" spans="2:12" ht="12" customHeight="1">
      <c r="B7" s="161"/>
      <c r="C7" s="97" t="s">
        <v>67</v>
      </c>
      <c r="D7" s="97" t="s">
        <v>68</v>
      </c>
      <c r="E7" s="97" t="s">
        <v>69</v>
      </c>
      <c r="F7" s="97" t="s">
        <v>70</v>
      </c>
      <c r="G7" s="97" t="s">
        <v>71</v>
      </c>
      <c r="H7" s="97" t="s">
        <v>72</v>
      </c>
      <c r="I7" s="97" t="s">
        <v>73</v>
      </c>
      <c r="J7" s="97" t="s">
        <v>8</v>
      </c>
      <c r="K7" s="97" t="s">
        <v>65</v>
      </c>
      <c r="L7" s="97" t="s">
        <v>66</v>
      </c>
    </row>
    <row r="8" spans="2:12" ht="12" customHeight="1">
      <c r="B8" s="161"/>
      <c r="C8" s="97" t="s">
        <v>109</v>
      </c>
      <c r="D8" s="97" t="s">
        <v>109</v>
      </c>
      <c r="E8" s="97" t="s">
        <v>109</v>
      </c>
      <c r="F8" s="97" t="s">
        <v>110</v>
      </c>
      <c r="G8" s="97" t="s">
        <v>110</v>
      </c>
      <c r="H8" s="97" t="s">
        <v>110</v>
      </c>
      <c r="I8" s="97" t="s">
        <v>110</v>
      </c>
      <c r="J8" s="97" t="s">
        <v>109</v>
      </c>
      <c r="K8" s="97" t="s">
        <v>109</v>
      </c>
      <c r="L8" s="97" t="s">
        <v>110</v>
      </c>
    </row>
    <row r="9" spans="2:12" ht="12" customHeight="1">
      <c r="B9" s="161" t="s">
        <v>96</v>
      </c>
      <c r="C9" s="162">
        <f>($C$6/10000)*Arealläckage!O61</f>
        <v>7.1040000000000001E-3</v>
      </c>
      <c r="D9" s="162">
        <f>($C$6/10000)*Arealläckage!P61</f>
        <v>3.1968000000000001E-3</v>
      </c>
      <c r="E9" s="163">
        <f>($C$6/10000)*Arealläckage!Q61</f>
        <v>0.13497599999999998</v>
      </c>
      <c r="F9" s="163">
        <f>($C$6/10000)*Arealläckage!R61</f>
        <v>1.1366400000000001</v>
      </c>
      <c r="G9" s="163">
        <f>($C$6/10000)*Arealläckage!S61</f>
        <v>0.454656</v>
      </c>
      <c r="H9" s="163">
        <f>($C$6/10000)*Arealläckage!T61</f>
        <v>2.0601599999999998</v>
      </c>
      <c r="I9" s="163">
        <f>($C$6/10000)*Arealläckage!U61</f>
        <v>0.72105599999999992</v>
      </c>
      <c r="J9" s="164">
        <f>($C$6/10000)*Arealläckage!V61</f>
        <v>2.9126400000000001</v>
      </c>
      <c r="K9" s="162">
        <f>($C$6/10000)*Arealläckage!W61</f>
        <v>2.5574399999999997E-2</v>
      </c>
      <c r="L9" s="163">
        <f>($C$6/10000)*Arealläckage!X61</f>
        <v>4.3334400000000002E-2</v>
      </c>
    </row>
    <row r="10" spans="2:12" ht="12" customHeight="1">
      <c r="B10" s="3"/>
      <c r="C10" s="130"/>
      <c r="D10" s="130"/>
      <c r="E10" s="131"/>
      <c r="F10" s="132"/>
      <c r="G10" s="132"/>
      <c r="H10" s="132"/>
      <c r="I10" s="132"/>
      <c r="J10" s="132"/>
      <c r="K10" s="130"/>
      <c r="L10" s="131"/>
    </row>
    <row r="11" spans="2:12" ht="12" customHeight="1">
      <c r="B11" s="3"/>
      <c r="C11" s="130"/>
      <c r="D11" s="130"/>
      <c r="E11" s="131"/>
      <c r="F11" s="132"/>
      <c r="G11" s="132"/>
      <c r="H11" s="132"/>
      <c r="I11" s="132"/>
      <c r="J11" s="132"/>
      <c r="K11" s="130"/>
      <c r="L11" s="131"/>
    </row>
    <row r="13" spans="2:12" ht="12" customHeight="1" thickBot="1"/>
    <row r="14" spans="2:12" ht="12" customHeight="1">
      <c r="B14" s="231" t="s">
        <v>149</v>
      </c>
      <c r="C14" s="232"/>
      <c r="D14" s="232"/>
      <c r="E14" s="232"/>
      <c r="F14" s="232"/>
      <c r="G14" s="232"/>
      <c r="H14" s="232"/>
      <c r="I14" s="232"/>
      <c r="J14" s="232"/>
      <c r="K14" s="232" t="s">
        <v>147</v>
      </c>
      <c r="L14" s="261">
        <v>0.3</v>
      </c>
    </row>
    <row r="15" spans="2:12" ht="12" customHeight="1">
      <c r="B15" s="233" t="s">
        <v>108</v>
      </c>
      <c r="C15" s="109">
        <v>112</v>
      </c>
      <c r="D15" s="109" t="s">
        <v>111</v>
      </c>
      <c r="E15" s="108"/>
      <c r="F15" s="108"/>
      <c r="G15" s="108"/>
      <c r="H15" s="108"/>
      <c r="I15" s="108"/>
      <c r="J15" s="108"/>
      <c r="K15" s="108"/>
      <c r="L15" s="234"/>
    </row>
    <row r="16" spans="2:12" ht="12" customHeight="1">
      <c r="B16" s="235"/>
      <c r="C16" s="104" t="s">
        <v>67</v>
      </c>
      <c r="D16" s="104" t="s">
        <v>68</v>
      </c>
      <c r="E16" s="104" t="s">
        <v>69</v>
      </c>
      <c r="F16" s="104" t="s">
        <v>70</v>
      </c>
      <c r="G16" s="104" t="s">
        <v>71</v>
      </c>
      <c r="H16" s="104" t="s">
        <v>72</v>
      </c>
      <c r="I16" s="104" t="s">
        <v>73</v>
      </c>
      <c r="J16" s="104" t="s">
        <v>8</v>
      </c>
      <c r="K16" s="104" t="s">
        <v>65</v>
      </c>
      <c r="L16" s="236" t="s">
        <v>66</v>
      </c>
    </row>
    <row r="17" spans="2:12" ht="12" customHeight="1">
      <c r="B17" s="235"/>
      <c r="C17" s="104" t="s">
        <v>109</v>
      </c>
      <c r="D17" s="104" t="s">
        <v>109</v>
      </c>
      <c r="E17" s="104" t="s">
        <v>109</v>
      </c>
      <c r="F17" s="104" t="s">
        <v>110</v>
      </c>
      <c r="G17" s="104" t="s">
        <v>110</v>
      </c>
      <c r="H17" s="104" t="s">
        <v>110</v>
      </c>
      <c r="I17" s="104" t="s">
        <v>110</v>
      </c>
      <c r="J17" s="104" t="s">
        <v>109</v>
      </c>
      <c r="K17" s="104" t="s">
        <v>109</v>
      </c>
      <c r="L17" s="236" t="s">
        <v>110</v>
      </c>
    </row>
    <row r="18" spans="2:12" ht="12" customHeight="1">
      <c r="B18" s="235" t="s">
        <v>96</v>
      </c>
      <c r="C18" s="197">
        <f>$C$15/10000*Arealläckage!O62</f>
        <v>2.1504000000000002E-3</v>
      </c>
      <c r="D18" s="197">
        <f>$C$15/10000*Arealläckage!P62</f>
        <v>9.6768000000000006E-4</v>
      </c>
      <c r="E18" s="198">
        <f>$C$15/10000*Arealläckage!Q62</f>
        <v>0.12096000000000001</v>
      </c>
      <c r="F18" s="198">
        <f>$C$15/10000*Arealläckage!R62</f>
        <v>0.15456</v>
      </c>
      <c r="G18" s="198">
        <f>$C$15/10000*Arealläckage!S62</f>
        <v>6.1824000000000004E-2</v>
      </c>
      <c r="H18" s="198">
        <f>$C$15/10000*Arealläckage!T62</f>
        <v>0.57120000000000004</v>
      </c>
      <c r="I18" s="198">
        <f>$C$15/10000*Arealläckage!U62</f>
        <v>0.19991999999999999</v>
      </c>
      <c r="J18" s="199">
        <f>$C$15/10000*Arealläckage!V62</f>
        <v>0</v>
      </c>
      <c r="K18" s="197">
        <f>$C$15/10000*Arealläckage!W62</f>
        <v>0</v>
      </c>
      <c r="L18" s="237">
        <f>$C$15/10000*Arealläckage!X62</f>
        <v>4.7040000000000007E-3</v>
      </c>
    </row>
    <row r="19" spans="2:12" ht="12" customHeight="1">
      <c r="B19" s="235" t="s">
        <v>131</v>
      </c>
      <c r="C19" s="197">
        <f>C9</f>
        <v>7.1040000000000001E-3</v>
      </c>
      <c r="D19" s="197">
        <f>D9</f>
        <v>3.1968000000000001E-3</v>
      </c>
      <c r="E19" s="198">
        <f t="shared" ref="E19:L19" si="0">E9</f>
        <v>0.13497599999999998</v>
      </c>
      <c r="F19" s="198">
        <f t="shared" si="0"/>
        <v>1.1366400000000001</v>
      </c>
      <c r="G19" s="198">
        <f t="shared" si="0"/>
        <v>0.454656</v>
      </c>
      <c r="H19" s="198">
        <f t="shared" si="0"/>
        <v>2.0601599999999998</v>
      </c>
      <c r="I19" s="198">
        <f t="shared" si="0"/>
        <v>0.72105599999999992</v>
      </c>
      <c r="J19" s="199">
        <f t="shared" si="0"/>
        <v>2.9126400000000001</v>
      </c>
      <c r="K19" s="197">
        <f t="shared" si="0"/>
        <v>2.5574399999999997E-2</v>
      </c>
      <c r="L19" s="237">
        <f t="shared" si="0"/>
        <v>4.3334400000000002E-2</v>
      </c>
    </row>
    <row r="20" spans="2:12" ht="12" customHeight="1">
      <c r="B20" s="289" t="s">
        <v>114</v>
      </c>
      <c r="C20" s="290"/>
      <c r="D20" s="290"/>
      <c r="E20" s="290"/>
      <c r="F20" s="290"/>
      <c r="G20" s="290"/>
      <c r="H20" s="290"/>
      <c r="I20" s="290"/>
      <c r="J20" s="290"/>
      <c r="K20" s="290"/>
      <c r="L20" s="291"/>
    </row>
    <row r="21" spans="2:12" ht="12" customHeight="1">
      <c r="B21" s="235" t="s">
        <v>115</v>
      </c>
      <c r="C21" s="108">
        <f>Reningsgrader!C16</f>
        <v>55</v>
      </c>
      <c r="D21" s="199">
        <f>Reningsgrader!D16</f>
        <v>0</v>
      </c>
      <c r="E21" s="108">
        <f>Reningsgrader!E16</f>
        <v>40</v>
      </c>
      <c r="F21" s="199">
        <f>Reningsgrader!F16</f>
        <v>75</v>
      </c>
      <c r="G21" s="108">
        <f>Reningsgrader!G16</f>
        <v>40</v>
      </c>
      <c r="H21" s="199">
        <f>Reningsgrader!H16</f>
        <v>80</v>
      </c>
      <c r="I21" s="108">
        <f>Reningsgrader!I16</f>
        <v>40</v>
      </c>
      <c r="J21" s="108">
        <f>Reningsgrader!J16</f>
        <v>85</v>
      </c>
      <c r="K21" s="108">
        <f>Reningsgrader!K16</f>
        <v>75</v>
      </c>
      <c r="L21" s="234">
        <f>Reningsgrader!L16</f>
        <v>75</v>
      </c>
    </row>
    <row r="22" spans="2:12" ht="12" customHeight="1" thickBot="1">
      <c r="B22" s="238" t="s">
        <v>116</v>
      </c>
      <c r="C22" s="239">
        <f>(C18+C19)-(C21/100*0.9*(C18+C19))</f>
        <v>4.6734719999999988E-3</v>
      </c>
      <c r="D22" s="239">
        <f t="shared" ref="D22:L22" si="1">(D18+D19)-(D21/100*0.9*(D18+D19))</f>
        <v>4.1644799999999999E-3</v>
      </c>
      <c r="E22" s="240">
        <f t="shared" si="1"/>
        <v>0.16379904000000001</v>
      </c>
      <c r="F22" s="240">
        <f t="shared" si="1"/>
        <v>0.41964000000000001</v>
      </c>
      <c r="G22" s="240">
        <f t="shared" si="1"/>
        <v>0.33054720000000004</v>
      </c>
      <c r="H22" s="240">
        <f t="shared" si="1"/>
        <v>0.73678079999999979</v>
      </c>
      <c r="I22" s="240">
        <f t="shared" si="1"/>
        <v>0.58942463999999983</v>
      </c>
      <c r="J22" s="240">
        <f t="shared" si="1"/>
        <v>0.68447039999999992</v>
      </c>
      <c r="K22" s="239">
        <f t="shared" si="1"/>
        <v>8.3116799999999984E-3</v>
      </c>
      <c r="L22" s="241">
        <f t="shared" si="1"/>
        <v>1.5612479999999998E-2</v>
      </c>
    </row>
    <row r="23" spans="2:12" s="3" customFormat="1" ht="12" customHeight="1">
      <c r="C23" s="130"/>
      <c r="D23" s="130"/>
      <c r="E23" s="131"/>
      <c r="F23" s="131"/>
      <c r="G23" s="131"/>
      <c r="H23" s="131"/>
      <c r="I23" s="131"/>
      <c r="J23" s="131"/>
      <c r="K23" s="130"/>
      <c r="L23" s="131"/>
    </row>
    <row r="24" spans="2:12" s="3" customFormat="1" ht="12" customHeight="1">
      <c r="C24" s="130"/>
      <c r="D24" s="130"/>
      <c r="E24" s="131"/>
      <c r="F24" s="131"/>
      <c r="G24" s="131"/>
      <c r="H24" s="131"/>
      <c r="I24" s="131"/>
      <c r="J24" s="131"/>
      <c r="K24" s="130"/>
      <c r="L24" s="131"/>
    </row>
    <row r="25" spans="2:12" s="3" customFormat="1" ht="12" customHeight="1">
      <c r="C25" s="130"/>
      <c r="D25" s="130"/>
      <c r="E25" s="131"/>
      <c r="F25" s="131"/>
      <c r="G25" s="131"/>
      <c r="H25" s="131"/>
      <c r="I25" s="131"/>
      <c r="J25" s="131"/>
      <c r="K25" s="130"/>
      <c r="L25" s="131"/>
    </row>
    <row r="26" spans="2:12" s="3" customFormat="1" ht="12" customHeight="1" thickBot="1">
      <c r="C26" s="130"/>
      <c r="D26" s="130"/>
      <c r="E26" s="131"/>
      <c r="F26" s="131"/>
      <c r="G26" s="131"/>
      <c r="H26" s="131"/>
      <c r="I26" s="131"/>
      <c r="J26" s="131"/>
      <c r="K26" s="130"/>
      <c r="L26" s="131"/>
    </row>
    <row r="27" spans="2:12" ht="12" customHeight="1" thickTop="1">
      <c r="B27" s="166" t="s">
        <v>139</v>
      </c>
      <c r="C27" s="167"/>
      <c r="D27" s="167"/>
      <c r="E27" s="167"/>
      <c r="F27" s="167"/>
      <c r="G27" s="167"/>
      <c r="H27" s="167"/>
      <c r="I27" s="167"/>
      <c r="J27" s="167"/>
      <c r="K27" s="167" t="s">
        <v>147</v>
      </c>
      <c r="L27" s="258">
        <f>Arealläckage!D10</f>
        <v>0.31</v>
      </c>
    </row>
    <row r="28" spans="2:12" ht="12" customHeight="1">
      <c r="B28" s="168" t="s">
        <v>108</v>
      </c>
      <c r="C28" s="169">
        <v>654</v>
      </c>
      <c r="D28" s="169" t="s">
        <v>111</v>
      </c>
      <c r="E28" s="170"/>
      <c r="F28" s="170"/>
      <c r="G28" s="170"/>
      <c r="H28" s="170"/>
      <c r="I28" s="170"/>
      <c r="J28" s="170"/>
      <c r="K28" s="170"/>
      <c r="L28" s="171"/>
    </row>
    <row r="29" spans="2:12" ht="12" customHeight="1">
      <c r="B29" s="172"/>
      <c r="C29" s="165" t="s">
        <v>67</v>
      </c>
      <c r="D29" s="165" t="s">
        <v>68</v>
      </c>
      <c r="E29" s="165" t="s">
        <v>69</v>
      </c>
      <c r="F29" s="165" t="s">
        <v>70</v>
      </c>
      <c r="G29" s="165" t="s">
        <v>71</v>
      </c>
      <c r="H29" s="165" t="s">
        <v>72</v>
      </c>
      <c r="I29" s="165" t="s">
        <v>73</v>
      </c>
      <c r="J29" s="165" t="s">
        <v>8</v>
      </c>
      <c r="K29" s="165" t="s">
        <v>65</v>
      </c>
      <c r="L29" s="173" t="s">
        <v>66</v>
      </c>
    </row>
    <row r="30" spans="2:12" ht="12" customHeight="1">
      <c r="B30" s="172"/>
      <c r="C30" s="165" t="s">
        <v>109</v>
      </c>
      <c r="D30" s="165" t="s">
        <v>109</v>
      </c>
      <c r="E30" s="165" t="s">
        <v>109</v>
      </c>
      <c r="F30" s="165" t="s">
        <v>110</v>
      </c>
      <c r="G30" s="165" t="s">
        <v>110</v>
      </c>
      <c r="H30" s="165" t="s">
        <v>110</v>
      </c>
      <c r="I30" s="165" t="s">
        <v>110</v>
      </c>
      <c r="J30" s="165" t="s">
        <v>109</v>
      </c>
      <c r="K30" s="165" t="s">
        <v>109</v>
      </c>
      <c r="L30" s="173" t="s">
        <v>110</v>
      </c>
    </row>
    <row r="31" spans="2:12" ht="12" customHeight="1" thickBot="1">
      <c r="B31" s="174" t="s">
        <v>96</v>
      </c>
      <c r="C31" s="175">
        <f>($C$28/10000)*Arealläckage!O10</f>
        <v>3.5276759999999997E-2</v>
      </c>
      <c r="D31" s="175">
        <f>($C$28/10000)*Arealläckage!P10</f>
        <v>1.5874541999999998E-2</v>
      </c>
      <c r="E31" s="176">
        <f>($C$28/10000)*Arealläckage!Q10</f>
        <v>0.47441159999999999</v>
      </c>
      <c r="F31" s="176">
        <f>($C$28/10000)*Arealläckage!R10</f>
        <v>1.8246599999999999</v>
      </c>
      <c r="G31" s="176">
        <f>($C$28/10000)*Arealläckage!S10</f>
        <v>0.72986399999999996</v>
      </c>
      <c r="H31" s="176">
        <f>($C$28/10000)*Arealläckage!T10</f>
        <v>2.797812</v>
      </c>
      <c r="I31" s="176">
        <f>($C$28/10000)*Arealläckage!U10</f>
        <v>0.97923419999999994</v>
      </c>
      <c r="J31" s="177">
        <f>($C$28/10000)*Arealläckage!V10</f>
        <v>2.3112360000000001</v>
      </c>
      <c r="K31" s="175">
        <f>($C$28/10000)*Arealläckage!W10</f>
        <v>0</v>
      </c>
      <c r="L31" s="183">
        <f>($C$28/10000)*Arealläckage!X10</f>
        <v>0.23112359999999998</v>
      </c>
    </row>
    <row r="32" spans="2:12" ht="12" customHeight="1" thickTop="1"/>
    <row r="35" spans="2:12" ht="12" customHeight="1" thickBot="1"/>
    <row r="36" spans="2:12" ht="12" customHeight="1" thickTop="1">
      <c r="B36" s="133" t="s">
        <v>117</v>
      </c>
      <c r="C36" s="134"/>
      <c r="D36" s="134"/>
      <c r="E36" s="134"/>
      <c r="F36" s="134"/>
      <c r="G36" s="134"/>
      <c r="H36" s="134"/>
      <c r="I36" s="134"/>
      <c r="J36" s="134"/>
      <c r="K36" s="134" t="s">
        <v>147</v>
      </c>
      <c r="L36" s="255">
        <f>(C6*L5+L14*C15+C28*L27)/C37</f>
        <v>0.38811816192560178</v>
      </c>
    </row>
    <row r="37" spans="2:12" ht="12" customHeight="1">
      <c r="B37" s="135" t="s">
        <v>108</v>
      </c>
      <c r="C37" s="136">
        <f>C6+C15+C28</f>
        <v>914</v>
      </c>
      <c r="D37" s="136" t="s">
        <v>111</v>
      </c>
      <c r="E37" s="77"/>
      <c r="F37" s="77"/>
      <c r="G37" s="77"/>
      <c r="H37" s="77"/>
      <c r="I37" s="77"/>
      <c r="J37" s="77"/>
      <c r="K37" s="77"/>
      <c r="L37" s="137"/>
    </row>
    <row r="38" spans="2:12" ht="12" customHeight="1">
      <c r="B38" s="138"/>
      <c r="C38" s="129" t="s">
        <v>67</v>
      </c>
      <c r="D38" s="129" t="s">
        <v>68</v>
      </c>
      <c r="E38" s="129" t="s">
        <v>69</v>
      </c>
      <c r="F38" s="129" t="s">
        <v>70</v>
      </c>
      <c r="G38" s="129" t="s">
        <v>71</v>
      </c>
      <c r="H38" s="129" t="s">
        <v>72</v>
      </c>
      <c r="I38" s="129" t="s">
        <v>73</v>
      </c>
      <c r="J38" s="129" t="s">
        <v>8</v>
      </c>
      <c r="K38" s="129" t="s">
        <v>65</v>
      </c>
      <c r="L38" s="139" t="s">
        <v>66</v>
      </c>
    </row>
    <row r="39" spans="2:12" ht="12" customHeight="1">
      <c r="B39" s="138"/>
      <c r="C39" s="129" t="s">
        <v>109</v>
      </c>
      <c r="D39" s="129" t="s">
        <v>109</v>
      </c>
      <c r="E39" s="129" t="s">
        <v>109</v>
      </c>
      <c r="F39" s="129" t="s">
        <v>110</v>
      </c>
      <c r="G39" s="129" t="s">
        <v>110</v>
      </c>
      <c r="H39" s="129" t="s">
        <v>110</v>
      </c>
      <c r="I39" s="129" t="s">
        <v>110</v>
      </c>
      <c r="J39" s="129" t="s">
        <v>109</v>
      </c>
      <c r="K39" s="129" t="s">
        <v>109</v>
      </c>
      <c r="L39" s="139" t="s">
        <v>110</v>
      </c>
    </row>
    <row r="40" spans="2:12" ht="12" customHeight="1">
      <c r="B40" s="138" t="s">
        <v>96</v>
      </c>
      <c r="C40" s="144">
        <f>C22+C31</f>
        <v>3.9950231999999995E-2</v>
      </c>
      <c r="D40" s="144">
        <f t="shared" ref="D40:L40" si="2">D22+D31</f>
        <v>2.0039021999999997E-2</v>
      </c>
      <c r="E40" s="145">
        <f t="shared" si="2"/>
        <v>0.63821064000000005</v>
      </c>
      <c r="F40" s="145">
        <f t="shared" si="2"/>
        <v>2.2443</v>
      </c>
      <c r="G40" s="145">
        <f t="shared" si="2"/>
        <v>1.0604111999999999</v>
      </c>
      <c r="H40" s="145">
        <f t="shared" si="2"/>
        <v>3.5345927999999995</v>
      </c>
      <c r="I40" s="145">
        <f t="shared" si="2"/>
        <v>1.5686588399999999</v>
      </c>
      <c r="J40" s="146">
        <f t="shared" si="2"/>
        <v>2.9957064</v>
      </c>
      <c r="K40" s="144">
        <f t="shared" si="2"/>
        <v>8.3116799999999984E-3</v>
      </c>
      <c r="L40" s="147">
        <f t="shared" si="2"/>
        <v>0.24673607999999997</v>
      </c>
    </row>
    <row r="41" spans="2:12" ht="12" customHeight="1">
      <c r="B41" s="138" t="s">
        <v>118</v>
      </c>
      <c r="C41" s="144">
        <f>C40*(10000/$C$37)</f>
        <v>0.4370922538293216</v>
      </c>
      <c r="D41" s="144">
        <f t="shared" ref="D41:L41" si="3">D40*(10000/$C$37)</f>
        <v>0.21924531728665203</v>
      </c>
      <c r="E41" s="145">
        <f t="shared" si="3"/>
        <v>6.982610940919038</v>
      </c>
      <c r="F41" s="146">
        <f t="shared" si="3"/>
        <v>24.554704595185996</v>
      </c>
      <c r="G41" s="145">
        <f t="shared" si="3"/>
        <v>11.601873085339168</v>
      </c>
      <c r="H41" s="146">
        <f t="shared" si="3"/>
        <v>38.671693654266953</v>
      </c>
      <c r="I41" s="146">
        <f t="shared" si="3"/>
        <v>17.162569365426695</v>
      </c>
      <c r="J41" s="146">
        <f t="shared" si="3"/>
        <v>32.775781181619259</v>
      </c>
      <c r="K41" s="144">
        <f t="shared" si="3"/>
        <v>9.093741794310721E-2</v>
      </c>
      <c r="L41" s="147">
        <f t="shared" si="3"/>
        <v>2.6995194748358857</v>
      </c>
    </row>
    <row r="42" spans="2:12" ht="12" customHeight="1">
      <c r="B42" s="281" t="s">
        <v>119</v>
      </c>
      <c r="C42" s="129" t="s">
        <v>120</v>
      </c>
      <c r="D42" s="129" t="s">
        <v>120</v>
      </c>
      <c r="E42" s="129" t="s">
        <v>120</v>
      </c>
      <c r="F42" s="129" t="s">
        <v>121</v>
      </c>
      <c r="G42" s="129" t="s">
        <v>121</v>
      </c>
      <c r="H42" s="129" t="s">
        <v>121</v>
      </c>
      <c r="I42" s="129" t="s">
        <v>121</v>
      </c>
      <c r="J42" s="129" t="s">
        <v>120</v>
      </c>
      <c r="K42" s="129" t="s">
        <v>120</v>
      </c>
      <c r="L42" s="139" t="s">
        <v>121</v>
      </c>
    </row>
    <row r="43" spans="2:12" ht="12" customHeight="1" thickBot="1">
      <c r="B43" s="282"/>
      <c r="C43" s="140">
        <f>C41*100/($L$36*Intro!$B$11)</f>
        <v>0.18769724305124877</v>
      </c>
      <c r="D43" s="140">
        <f>D41*100/($L$36*Intro!$B$11)</f>
        <v>9.4148869594632673E-2</v>
      </c>
      <c r="E43" s="141">
        <f>E41*100/($L$36*Intro!$B$11)</f>
        <v>2.998490161808649</v>
      </c>
      <c r="F43" s="142">
        <f>F41*100/($L$36*Intro!$B$11)</f>
        <v>10.544342335231436</v>
      </c>
      <c r="G43" s="141">
        <f>G41*100/($L$36*Intro!$B$11)</f>
        <v>4.9821052038112414</v>
      </c>
      <c r="H43" s="142">
        <f>H41*100/($L$36*Intro!$B$11)</f>
        <v>16.606494897671531</v>
      </c>
      <c r="I43" s="141">
        <f>I41*100/($L$36*Intro!$B$11)</f>
        <v>7.3699932344815915</v>
      </c>
      <c r="J43" s="142">
        <f>J41*100/($L$36*Intro!$B$11)</f>
        <v>14.074657495630603</v>
      </c>
      <c r="K43" s="140">
        <f>K41*100/($L$36*Intro!$B$11)</f>
        <v>3.9050572250098663E-2</v>
      </c>
      <c r="L43" s="143">
        <f>L41*100/($L$36*Intro!$B$11)</f>
        <v>1.1592343688335116</v>
      </c>
    </row>
    <row r="44" spans="2:12" ht="12" customHeight="1" thickTop="1"/>
  </sheetData>
  <mergeCells count="2">
    <mergeCell ref="B42:B43"/>
    <mergeCell ref="B20:L20"/>
  </mergeCells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theme="6"/>
  </sheetPr>
  <dimension ref="B2:L44"/>
  <sheetViews>
    <sheetView zoomScale="90" zoomScaleNormal="90" zoomScalePageLayoutView="90" workbookViewId="0">
      <selection activeCell="E50" sqref="E50"/>
    </sheetView>
  </sheetViews>
  <sheetFormatPr baseColWidth="10" defaultColWidth="8.83203125" defaultRowHeight="12" customHeight="1" x14ac:dyDescent="0"/>
  <cols>
    <col min="1" max="1" width="5.33203125" style="1" customWidth="1"/>
    <col min="2" max="2" width="21.1640625" style="1" customWidth="1"/>
    <col min="3" max="3" width="9.5" style="93" customWidth="1"/>
    <col min="4" max="12" width="8.83203125" style="93"/>
    <col min="13" max="16384" width="8.83203125" style="1"/>
  </cols>
  <sheetData>
    <row r="2" spans="2:12" ht="12" customHeight="1">
      <c r="B2" s="90" t="s">
        <v>141</v>
      </c>
    </row>
    <row r="3" spans="2:12" ht="12" customHeight="1">
      <c r="B3" s="67" t="s">
        <v>129</v>
      </c>
    </row>
    <row r="5" spans="2:12" ht="12" customHeight="1">
      <c r="B5" s="95" t="s">
        <v>95</v>
      </c>
      <c r="C5" s="102"/>
      <c r="D5" s="102"/>
      <c r="E5" s="102"/>
      <c r="F5" s="102"/>
      <c r="G5" s="102"/>
      <c r="H5" s="102"/>
      <c r="I5" s="102"/>
      <c r="J5" s="102"/>
      <c r="K5" s="102" t="s">
        <v>147</v>
      </c>
      <c r="L5" s="98">
        <f>Arealläckage!D11</f>
        <v>0.4</v>
      </c>
    </row>
    <row r="6" spans="2:12" ht="12" customHeight="1">
      <c r="B6" s="101" t="s">
        <v>108</v>
      </c>
      <c r="C6" s="103">
        <v>227</v>
      </c>
      <c r="D6" s="103" t="s">
        <v>111</v>
      </c>
      <c r="E6" s="102"/>
      <c r="F6" s="102"/>
      <c r="G6" s="102"/>
      <c r="H6" s="102"/>
      <c r="I6" s="102"/>
      <c r="J6" s="102"/>
      <c r="K6" s="102"/>
      <c r="L6" s="102"/>
    </row>
    <row r="7" spans="2:12" ht="12" customHeight="1">
      <c r="B7" s="96"/>
      <c r="C7" s="97" t="s">
        <v>67</v>
      </c>
      <c r="D7" s="97" t="s">
        <v>68</v>
      </c>
      <c r="E7" s="97" t="s">
        <v>69</v>
      </c>
      <c r="F7" s="97" t="s">
        <v>70</v>
      </c>
      <c r="G7" s="97" t="s">
        <v>71</v>
      </c>
      <c r="H7" s="97" t="s">
        <v>72</v>
      </c>
      <c r="I7" s="97" t="s">
        <v>73</v>
      </c>
      <c r="J7" s="97" t="s">
        <v>8</v>
      </c>
      <c r="K7" s="97" t="s">
        <v>65</v>
      </c>
      <c r="L7" s="97" t="s">
        <v>66</v>
      </c>
    </row>
    <row r="8" spans="2:12" ht="12" customHeight="1">
      <c r="B8" s="96"/>
      <c r="C8" s="97" t="s">
        <v>109</v>
      </c>
      <c r="D8" s="97" t="s">
        <v>109</v>
      </c>
      <c r="E8" s="97" t="s">
        <v>109</v>
      </c>
      <c r="F8" s="97" t="s">
        <v>110</v>
      </c>
      <c r="G8" s="97" t="s">
        <v>110</v>
      </c>
      <c r="H8" s="97" t="s">
        <v>110</v>
      </c>
      <c r="I8" s="97" t="s">
        <v>110</v>
      </c>
      <c r="J8" s="97" t="s">
        <v>109</v>
      </c>
      <c r="K8" s="97" t="s">
        <v>109</v>
      </c>
      <c r="L8" s="97" t="s">
        <v>110</v>
      </c>
    </row>
    <row r="9" spans="2:12" ht="12" customHeight="1">
      <c r="B9" s="96" t="s">
        <v>96</v>
      </c>
      <c r="C9" s="98">
        <f>Arealläckage!O11*$C$6/10000</f>
        <v>2.28816E-3</v>
      </c>
      <c r="D9" s="98">
        <f>Arealläckage!P11*$C$6/10000</f>
        <v>1.0296720000000001E-3</v>
      </c>
      <c r="E9" s="99">
        <f>Arealläckage!Q11*$C$6/10000</f>
        <v>0.10895999999999999</v>
      </c>
      <c r="F9" s="99">
        <f>Arealläckage!R11*$C$6/10000</f>
        <v>0.65376000000000001</v>
      </c>
      <c r="G9" s="99">
        <f>Arealläckage!S11*$C$6/10000</f>
        <v>0.26150400000000001</v>
      </c>
      <c r="H9" s="99">
        <f>Arealläckage!T11*$C$6/10000</f>
        <v>1.7978400000000001</v>
      </c>
      <c r="I9" s="99">
        <f>Arealläckage!U11*$C$6/10000</f>
        <v>0.62924399999999991</v>
      </c>
      <c r="J9" s="100">
        <f>Arealläckage!V11*$C$6/10000</f>
        <v>0.52709399999999995</v>
      </c>
      <c r="K9" s="98">
        <f>Arealläckage!W11*$C$6/10000</f>
        <v>5.4479999999999997E-3</v>
      </c>
      <c r="L9" s="99">
        <f>Arealläckage!X11*$C$6/10000</f>
        <v>9.261599999999999E-2</v>
      </c>
    </row>
    <row r="10" spans="2:12" ht="12" customHeight="1">
      <c r="B10" s="3"/>
      <c r="C10" s="130"/>
      <c r="D10" s="130"/>
      <c r="E10" s="131"/>
      <c r="F10" s="132"/>
      <c r="G10" s="132"/>
      <c r="H10" s="132"/>
      <c r="I10" s="132"/>
      <c r="J10" s="132"/>
      <c r="K10" s="130"/>
      <c r="L10" s="131"/>
    </row>
    <row r="11" spans="2:12" ht="12" customHeight="1">
      <c r="B11" s="3"/>
      <c r="C11" s="130"/>
      <c r="D11" s="130"/>
      <c r="E11" s="131"/>
      <c r="F11" s="132"/>
      <c r="G11" s="132"/>
      <c r="H11" s="132"/>
      <c r="I11" s="132"/>
      <c r="J11" s="132"/>
      <c r="K11" s="130"/>
      <c r="L11" s="131"/>
    </row>
    <row r="13" spans="2:12" ht="12" customHeight="1" thickBot="1"/>
    <row r="14" spans="2:12" ht="12" customHeight="1" thickTop="1">
      <c r="B14" s="105" t="s">
        <v>112</v>
      </c>
      <c r="C14" s="106"/>
      <c r="D14" s="106"/>
      <c r="E14" s="106"/>
      <c r="F14" s="106"/>
      <c r="G14" s="106"/>
      <c r="H14" s="106"/>
      <c r="I14" s="106"/>
      <c r="J14" s="106"/>
      <c r="K14" s="106" t="s">
        <v>147</v>
      </c>
      <c r="L14" s="254">
        <f>Arealläckage!D23</f>
        <v>0.9</v>
      </c>
    </row>
    <row r="15" spans="2:12" ht="12" customHeight="1">
      <c r="B15" s="107" t="s">
        <v>108</v>
      </c>
      <c r="C15" s="109">
        <v>654</v>
      </c>
      <c r="D15" s="109" t="s">
        <v>111</v>
      </c>
      <c r="E15" s="108"/>
      <c r="F15" s="108"/>
      <c r="G15" s="108"/>
      <c r="H15" s="108"/>
      <c r="I15" s="108"/>
      <c r="J15" s="108"/>
      <c r="K15" s="108"/>
      <c r="L15" s="110"/>
    </row>
    <row r="16" spans="2:12" ht="12" customHeight="1">
      <c r="B16" s="111"/>
      <c r="C16" s="104" t="s">
        <v>67</v>
      </c>
      <c r="D16" s="104" t="s">
        <v>68</v>
      </c>
      <c r="E16" s="104" t="s">
        <v>69</v>
      </c>
      <c r="F16" s="104" t="s">
        <v>70</v>
      </c>
      <c r="G16" s="104" t="s">
        <v>71</v>
      </c>
      <c r="H16" s="104" t="s">
        <v>72</v>
      </c>
      <c r="I16" s="104" t="s">
        <v>73</v>
      </c>
      <c r="J16" s="104" t="s">
        <v>8</v>
      </c>
      <c r="K16" s="104" t="s">
        <v>65</v>
      </c>
      <c r="L16" s="112" t="s">
        <v>66</v>
      </c>
    </row>
    <row r="17" spans="2:12" ht="12" customHeight="1">
      <c r="B17" s="111"/>
      <c r="C17" s="104" t="s">
        <v>109</v>
      </c>
      <c r="D17" s="104" t="s">
        <v>109</v>
      </c>
      <c r="E17" s="104" t="s">
        <v>109</v>
      </c>
      <c r="F17" s="104" t="s">
        <v>110</v>
      </c>
      <c r="G17" s="104" t="s">
        <v>110</v>
      </c>
      <c r="H17" s="104" t="s">
        <v>110</v>
      </c>
      <c r="I17" s="104" t="s">
        <v>110</v>
      </c>
      <c r="J17" s="104" t="s">
        <v>109</v>
      </c>
      <c r="K17" s="104" t="s">
        <v>109</v>
      </c>
      <c r="L17" s="112" t="s">
        <v>110</v>
      </c>
    </row>
    <row r="18" spans="2:12" ht="12" customHeight="1" thickBot="1">
      <c r="B18" s="113" t="s">
        <v>96</v>
      </c>
      <c r="C18" s="114">
        <f>$C$15/10000*Arealläckage!O23</f>
        <v>3.1784399999999997E-2</v>
      </c>
      <c r="D18" s="114">
        <f>$C$15/10000*Arealläckage!P23</f>
        <v>1.430298E-2</v>
      </c>
      <c r="E18" s="115">
        <f>$C$15/10000*Arealläckage!Q23</f>
        <v>0.63568800000000003</v>
      </c>
      <c r="F18" s="115">
        <f>$C$15/10000*Arealläckage!R23</f>
        <v>2.6486999999999998</v>
      </c>
      <c r="G18" s="115">
        <f>$C$15/10000*Arealläckage!S23</f>
        <v>1.05948</v>
      </c>
      <c r="H18" s="116">
        <f>$C$15/10000*Arealläckage!T23</f>
        <v>9.8884799999999995</v>
      </c>
      <c r="I18" s="115">
        <f>$C$15/10000*Arealläckage!U23</f>
        <v>3.4609679999999998</v>
      </c>
      <c r="J18" s="116">
        <f>$C$15/10000*Arealläckage!V23</f>
        <v>8.8290000000000006</v>
      </c>
      <c r="K18" s="114">
        <f>$C$15/10000*Arealläckage!W23</f>
        <v>0</v>
      </c>
      <c r="L18" s="117">
        <f>$C$15/10000*Arealläckage!X23</f>
        <v>0.15539039999999998</v>
      </c>
    </row>
    <row r="19" spans="2:12" ht="12" customHeight="1" thickTop="1"/>
    <row r="21" spans="2:12" ht="12" customHeight="1">
      <c r="B21" s="70"/>
      <c r="C21" s="72"/>
      <c r="D21" s="72"/>
      <c r="E21" s="72"/>
      <c r="F21" s="72"/>
      <c r="G21" s="72"/>
      <c r="H21" s="72"/>
      <c r="I21" s="72"/>
      <c r="J21" s="72"/>
      <c r="K21" s="72"/>
      <c r="L21" s="72"/>
    </row>
    <row r="22" spans="2:12" ht="12" customHeight="1">
      <c r="B22" s="127"/>
      <c r="C22" s="128"/>
      <c r="D22" s="128"/>
      <c r="E22" s="72"/>
      <c r="F22" s="72"/>
      <c r="G22" s="72"/>
      <c r="H22" s="72"/>
      <c r="I22" s="72"/>
      <c r="J22" s="72"/>
      <c r="K22" s="72"/>
      <c r="L22" s="72"/>
    </row>
    <row r="23" spans="2:12" ht="12" customHeight="1">
      <c r="B23" s="243" t="s">
        <v>161</v>
      </c>
      <c r="C23" s="244"/>
      <c r="D23" s="244"/>
      <c r="E23" s="244"/>
      <c r="F23" s="244"/>
      <c r="G23" s="244"/>
      <c r="H23" s="244"/>
      <c r="I23" s="244"/>
      <c r="J23" s="244"/>
      <c r="K23" s="244" t="s">
        <v>147</v>
      </c>
      <c r="L23" s="263">
        <v>0.3</v>
      </c>
    </row>
    <row r="24" spans="2:12" ht="12" customHeight="1">
      <c r="B24" s="245" t="s">
        <v>108</v>
      </c>
      <c r="C24" s="187">
        <v>33</v>
      </c>
      <c r="D24" s="187" t="s">
        <v>111</v>
      </c>
      <c r="E24" s="188"/>
      <c r="F24" s="188"/>
      <c r="G24" s="188"/>
      <c r="H24" s="188"/>
      <c r="I24" s="188"/>
      <c r="J24" s="188"/>
      <c r="K24" s="188"/>
      <c r="L24" s="246"/>
    </row>
    <row r="25" spans="2:12" ht="12" customHeight="1">
      <c r="B25" s="247"/>
      <c r="C25" s="123" t="s">
        <v>67</v>
      </c>
      <c r="D25" s="123" t="s">
        <v>68</v>
      </c>
      <c r="E25" s="123" t="s">
        <v>69</v>
      </c>
      <c r="F25" s="123" t="s">
        <v>70</v>
      </c>
      <c r="G25" s="123" t="s">
        <v>71</v>
      </c>
      <c r="H25" s="123" t="s">
        <v>72</v>
      </c>
      <c r="I25" s="123" t="s">
        <v>73</v>
      </c>
      <c r="J25" s="123" t="s">
        <v>8</v>
      </c>
      <c r="K25" s="123" t="s">
        <v>65</v>
      </c>
      <c r="L25" s="248" t="s">
        <v>66</v>
      </c>
    </row>
    <row r="26" spans="2:12" ht="12" customHeight="1">
      <c r="B26" s="247"/>
      <c r="C26" s="123" t="s">
        <v>109</v>
      </c>
      <c r="D26" s="123" t="s">
        <v>109</v>
      </c>
      <c r="E26" s="123" t="s">
        <v>109</v>
      </c>
      <c r="F26" s="123" t="s">
        <v>110</v>
      </c>
      <c r="G26" s="123" t="s">
        <v>110</v>
      </c>
      <c r="H26" s="123" t="s">
        <v>110</v>
      </c>
      <c r="I26" s="123" t="s">
        <v>110</v>
      </c>
      <c r="J26" s="123" t="s">
        <v>109</v>
      </c>
      <c r="K26" s="123" t="s">
        <v>109</v>
      </c>
      <c r="L26" s="248" t="s">
        <v>110</v>
      </c>
    </row>
    <row r="27" spans="2:12" ht="12" customHeight="1">
      <c r="B27" s="247" t="s">
        <v>96</v>
      </c>
      <c r="C27" s="206">
        <f>$C$24/10000*Arealläckage!O62</f>
        <v>6.3360000000000001E-4</v>
      </c>
      <c r="D27" s="206">
        <f>$C$24/10000*Arealläckage!P62</f>
        <v>2.8512000000000003E-4</v>
      </c>
      <c r="E27" s="207">
        <f>$C$24/10000*Arealläckage!Q62</f>
        <v>3.5640000000000005E-2</v>
      </c>
      <c r="F27" s="207">
        <f>$C$24/10000*Arealläckage!R62</f>
        <v>4.5540000000000004E-2</v>
      </c>
      <c r="G27" s="207">
        <f>$C$24/10000*Arealläckage!S62</f>
        <v>1.8216000000000003E-2</v>
      </c>
      <c r="H27" s="207">
        <f>$C$24/10000*Arealläckage!T62</f>
        <v>0.16830000000000001</v>
      </c>
      <c r="I27" s="207">
        <f>$C$24/10000*Arealläckage!U62</f>
        <v>5.8904999999999992E-2</v>
      </c>
      <c r="J27" s="208">
        <f>$C$24/10000*Arealläckage!V62</f>
        <v>0</v>
      </c>
      <c r="K27" s="206">
        <f>$C$24/10000*Arealläckage!W62</f>
        <v>0</v>
      </c>
      <c r="L27" s="249">
        <f>$C$24/10000*Arealläckage!X62</f>
        <v>1.3860000000000003E-3</v>
      </c>
    </row>
    <row r="28" spans="2:12" ht="12" customHeight="1">
      <c r="B28" s="247" t="s">
        <v>131</v>
      </c>
      <c r="C28" s="206">
        <f>C18</f>
        <v>3.1784399999999997E-2</v>
      </c>
      <c r="D28" s="206">
        <f t="shared" ref="D28:L28" si="0">D18</f>
        <v>1.430298E-2</v>
      </c>
      <c r="E28" s="207">
        <f t="shared" si="0"/>
        <v>0.63568800000000003</v>
      </c>
      <c r="F28" s="207">
        <f t="shared" si="0"/>
        <v>2.6486999999999998</v>
      </c>
      <c r="G28" s="207">
        <f t="shared" si="0"/>
        <v>1.05948</v>
      </c>
      <c r="H28" s="208">
        <f t="shared" si="0"/>
        <v>9.8884799999999995</v>
      </c>
      <c r="I28" s="207">
        <f t="shared" si="0"/>
        <v>3.4609679999999998</v>
      </c>
      <c r="J28" s="208">
        <f t="shared" si="0"/>
        <v>8.8290000000000006</v>
      </c>
      <c r="K28" s="206">
        <f t="shared" si="0"/>
        <v>0</v>
      </c>
      <c r="L28" s="249">
        <f t="shared" si="0"/>
        <v>0.15539039999999998</v>
      </c>
    </row>
    <row r="29" spans="2:12" ht="12" customHeight="1">
      <c r="B29" s="292" t="s">
        <v>114</v>
      </c>
      <c r="C29" s="284"/>
      <c r="D29" s="284"/>
      <c r="E29" s="284"/>
      <c r="F29" s="284"/>
      <c r="G29" s="284"/>
      <c r="H29" s="284"/>
      <c r="I29" s="284"/>
      <c r="J29" s="284"/>
      <c r="K29" s="284"/>
      <c r="L29" s="293"/>
    </row>
    <row r="30" spans="2:12" ht="12" customHeight="1">
      <c r="B30" s="247" t="s">
        <v>115</v>
      </c>
      <c r="C30" s="188">
        <f>Reningsgrader!C13</f>
        <v>65</v>
      </c>
      <c r="D30" s="188">
        <f>Reningsgrader!D13</f>
        <v>25</v>
      </c>
      <c r="E30" s="188">
        <f>Reningsgrader!E13</f>
        <v>40</v>
      </c>
      <c r="F30" s="188">
        <f>Reningsgrader!F13</f>
        <v>65</v>
      </c>
      <c r="G30" s="188">
        <f>Reningsgrader!G13</f>
        <v>40</v>
      </c>
      <c r="H30" s="188">
        <f>Reningsgrader!H13</f>
        <v>85</v>
      </c>
      <c r="I30" s="188">
        <f>Reningsgrader!I13</f>
        <v>70</v>
      </c>
      <c r="J30" s="188">
        <f>Reningsgrader!J13</f>
        <v>80</v>
      </c>
      <c r="K30" s="188">
        <f>Reningsgrader!K13</f>
        <v>80</v>
      </c>
      <c r="L30" s="246">
        <f>Reningsgrader!L13</f>
        <v>85</v>
      </c>
    </row>
    <row r="31" spans="2:12" ht="12" customHeight="1">
      <c r="B31" s="250" t="s">
        <v>116</v>
      </c>
      <c r="C31" s="251">
        <f>(C27+C28)-(C30/100*0.9*(C27+C28))</f>
        <v>1.3453469999999995E-2</v>
      </c>
      <c r="D31" s="251">
        <f t="shared" ref="D31:L31" si="1">(D27+D28)-(D30/100*0.9*(D27+D28))</f>
        <v>1.1305777499999999E-2</v>
      </c>
      <c r="E31" s="252">
        <f t="shared" si="1"/>
        <v>0.42964992000000002</v>
      </c>
      <c r="F31" s="252">
        <f t="shared" si="1"/>
        <v>1.1181095999999997</v>
      </c>
      <c r="G31" s="252">
        <f t="shared" si="1"/>
        <v>0.68972543999999991</v>
      </c>
      <c r="H31" s="252">
        <f>(H27+H28)-(H30/100*0.9*(H27+H28))</f>
        <v>2.3633432999999995</v>
      </c>
      <c r="I31" s="252">
        <f t="shared" si="1"/>
        <v>1.30235301</v>
      </c>
      <c r="J31" s="252">
        <f t="shared" si="1"/>
        <v>2.4721199999999994</v>
      </c>
      <c r="K31" s="251">
        <f t="shared" si="1"/>
        <v>0</v>
      </c>
      <c r="L31" s="253">
        <f t="shared" si="1"/>
        <v>3.6842453999999997E-2</v>
      </c>
    </row>
    <row r="35" spans="2:12" ht="12" customHeight="1" thickBot="1"/>
    <row r="36" spans="2:12" ht="12" customHeight="1" thickTop="1">
      <c r="B36" s="133" t="s">
        <v>117</v>
      </c>
      <c r="C36" s="134"/>
      <c r="D36" s="134"/>
      <c r="E36" s="134"/>
      <c r="F36" s="134"/>
      <c r="G36" s="134"/>
      <c r="H36" s="134"/>
      <c r="I36" s="134"/>
      <c r="J36" s="134"/>
      <c r="K36" s="134" t="s">
        <v>147</v>
      </c>
      <c r="L36" s="255">
        <f>(L5*C6+L14*C15+C24*L23)/C37</f>
        <v>0.75415754923413569</v>
      </c>
    </row>
    <row r="37" spans="2:12" ht="12" customHeight="1">
      <c r="B37" s="135" t="s">
        <v>108</v>
      </c>
      <c r="C37" s="136">
        <f>C6+C15+C24</f>
        <v>914</v>
      </c>
      <c r="D37" s="136" t="s">
        <v>111</v>
      </c>
      <c r="E37" s="77"/>
      <c r="F37" s="77"/>
      <c r="G37" s="77"/>
      <c r="H37" s="77"/>
      <c r="I37" s="77"/>
      <c r="J37" s="77"/>
      <c r="K37" s="77"/>
      <c r="L37" s="137"/>
    </row>
    <row r="38" spans="2:12" ht="12" customHeight="1">
      <c r="B38" s="138"/>
      <c r="C38" s="129" t="s">
        <v>67</v>
      </c>
      <c r="D38" s="129" t="s">
        <v>68</v>
      </c>
      <c r="E38" s="129" t="s">
        <v>69</v>
      </c>
      <c r="F38" s="129" t="s">
        <v>70</v>
      </c>
      <c r="G38" s="129" t="s">
        <v>71</v>
      </c>
      <c r="H38" s="129" t="s">
        <v>72</v>
      </c>
      <c r="I38" s="129" t="s">
        <v>73</v>
      </c>
      <c r="J38" s="129" t="s">
        <v>8</v>
      </c>
      <c r="K38" s="129" t="s">
        <v>65</v>
      </c>
      <c r="L38" s="139" t="s">
        <v>66</v>
      </c>
    </row>
    <row r="39" spans="2:12" ht="12" customHeight="1">
      <c r="B39" s="138"/>
      <c r="C39" s="129" t="s">
        <v>109</v>
      </c>
      <c r="D39" s="129" t="s">
        <v>109</v>
      </c>
      <c r="E39" s="129" t="s">
        <v>109</v>
      </c>
      <c r="F39" s="129" t="s">
        <v>110</v>
      </c>
      <c r="G39" s="129" t="s">
        <v>110</v>
      </c>
      <c r="H39" s="129" t="s">
        <v>110</v>
      </c>
      <c r="I39" s="129" t="s">
        <v>110</v>
      </c>
      <c r="J39" s="129" t="s">
        <v>109</v>
      </c>
      <c r="K39" s="129" t="s">
        <v>109</v>
      </c>
      <c r="L39" s="139" t="s">
        <v>110</v>
      </c>
    </row>
    <row r="40" spans="2:12" ht="12" customHeight="1">
      <c r="B40" s="138" t="s">
        <v>96</v>
      </c>
      <c r="C40" s="144">
        <f>C9+C31</f>
        <v>1.5741629999999996E-2</v>
      </c>
      <c r="D40" s="144">
        <f t="shared" ref="D40:L40" si="2">D9+D31</f>
        <v>1.23354495E-2</v>
      </c>
      <c r="E40" s="145">
        <f t="shared" si="2"/>
        <v>0.53860991999999996</v>
      </c>
      <c r="F40" s="145">
        <f t="shared" si="2"/>
        <v>1.7718695999999996</v>
      </c>
      <c r="G40" s="145">
        <f t="shared" si="2"/>
        <v>0.95122943999999987</v>
      </c>
      <c r="H40" s="146">
        <f t="shared" si="2"/>
        <v>4.1611832999999994</v>
      </c>
      <c r="I40" s="145">
        <f t="shared" si="2"/>
        <v>1.9315970099999999</v>
      </c>
      <c r="J40" s="146">
        <f t="shared" si="2"/>
        <v>2.9992139999999994</v>
      </c>
      <c r="K40" s="144">
        <f t="shared" si="2"/>
        <v>5.4479999999999997E-3</v>
      </c>
      <c r="L40" s="147">
        <f t="shared" si="2"/>
        <v>0.129458454</v>
      </c>
    </row>
    <row r="41" spans="2:12" ht="12" customHeight="1">
      <c r="B41" s="138" t="s">
        <v>118</v>
      </c>
      <c r="C41" s="144">
        <f>C40*(10000/$C$37)</f>
        <v>0.17222789934354482</v>
      </c>
      <c r="D41" s="144">
        <f t="shared" ref="D41:L41" si="3">D40*(10000/$C$37)</f>
        <v>0.13496115426695843</v>
      </c>
      <c r="E41" s="145">
        <f t="shared" si="3"/>
        <v>5.8928875273522969</v>
      </c>
      <c r="F41" s="146">
        <f t="shared" si="3"/>
        <v>19.385881838074393</v>
      </c>
      <c r="G41" s="145">
        <f t="shared" si="3"/>
        <v>10.407324288840261</v>
      </c>
      <c r="H41" s="146">
        <f t="shared" si="3"/>
        <v>45.527169584245073</v>
      </c>
      <c r="I41" s="146">
        <f t="shared" si="3"/>
        <v>21.133446498905908</v>
      </c>
      <c r="J41" s="146">
        <f t="shared" si="3"/>
        <v>32.814157549234132</v>
      </c>
      <c r="K41" s="144">
        <f t="shared" si="3"/>
        <v>5.9606126914660829E-2</v>
      </c>
      <c r="L41" s="147">
        <f t="shared" si="3"/>
        <v>1.4163944638949673</v>
      </c>
    </row>
    <row r="42" spans="2:12" ht="12" customHeight="1">
      <c r="B42" s="281" t="s">
        <v>119</v>
      </c>
      <c r="C42" s="129" t="s">
        <v>120</v>
      </c>
      <c r="D42" s="129" t="s">
        <v>120</v>
      </c>
      <c r="E42" s="129" t="s">
        <v>120</v>
      </c>
      <c r="F42" s="129" t="s">
        <v>121</v>
      </c>
      <c r="G42" s="129" t="s">
        <v>121</v>
      </c>
      <c r="H42" s="129" t="s">
        <v>121</v>
      </c>
      <c r="I42" s="129" t="s">
        <v>121</v>
      </c>
      <c r="J42" s="129" t="s">
        <v>120</v>
      </c>
      <c r="K42" s="129" t="s">
        <v>120</v>
      </c>
      <c r="L42" s="139" t="s">
        <v>121</v>
      </c>
    </row>
    <row r="43" spans="2:12" ht="12" customHeight="1" thickBot="1">
      <c r="B43" s="282"/>
      <c r="C43" s="140">
        <f>C41*100/($L$36*Intro!$B$11)</f>
        <v>3.8061874365298114E-2</v>
      </c>
      <c r="D43" s="140">
        <f>D41*100/($L$36*Intro!$B$11)</f>
        <v>2.9826030030465689E-2</v>
      </c>
      <c r="E43" s="141">
        <f>E41*100/($L$36*Intro!$B$11)</f>
        <v>1.3023113303351221</v>
      </c>
      <c r="F43" s="141">
        <f>F41*100/($L$36*Intro!$B$11)</f>
        <v>4.2842245756564612</v>
      </c>
      <c r="G43" s="141">
        <f>G41*100/($L$36*Intro!$B$11)</f>
        <v>2.2999889743217752</v>
      </c>
      <c r="H43" s="142">
        <f>H41*100/($L$36*Intro!$B$11)</f>
        <v>10.061374582910197</v>
      </c>
      <c r="I43" s="141">
        <f>I41*100/($L$36*Intro!$B$11)</f>
        <v>4.670431379660525</v>
      </c>
      <c r="J43" s="142">
        <f>J41*100/($L$36*Intro!$B$11)</f>
        <v>7.251835195125488</v>
      </c>
      <c r="K43" s="140">
        <f>K41*100/($L$36*Intro!$B$11)</f>
        <v>1.3172783983751631E-2</v>
      </c>
      <c r="L43" s="143">
        <f>L41*100/($L$36*Intro!$B$11)</f>
        <v>0.31301913535470766</v>
      </c>
    </row>
    <row r="44" spans="2:12" ht="12" customHeight="1" thickTop="1"/>
  </sheetData>
  <mergeCells count="2">
    <mergeCell ref="B29:L29"/>
    <mergeCell ref="B42:B43"/>
  </mergeCells>
  <pageMargins left="0.7" right="0.7" top="0.75" bottom="0.75" header="0.3" footer="0.3"/>
  <pageSetup paperSize="9"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12</vt:i4>
      </vt:variant>
    </vt:vector>
  </HeadingPairs>
  <TitlesOfParts>
    <vt:vector size="12" baseType="lpstr">
      <vt:lpstr>Intro</vt:lpstr>
      <vt:lpstr>1a</vt:lpstr>
      <vt:lpstr>1b</vt:lpstr>
      <vt:lpstr>2a</vt:lpstr>
      <vt:lpstr>2b</vt:lpstr>
      <vt:lpstr>3a</vt:lpstr>
      <vt:lpstr>3b</vt:lpstr>
      <vt:lpstr>4a</vt:lpstr>
      <vt:lpstr>4b</vt:lpstr>
      <vt:lpstr>Sammanställning</vt:lpstr>
      <vt:lpstr>Arealläckage</vt:lpstr>
      <vt:lpstr>Reningsgrader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Hannes</dc:creator>
  <cp:lastModifiedBy>My Laurell</cp:lastModifiedBy>
  <cp:lastPrinted>2016-10-25T09:28:45Z</cp:lastPrinted>
  <dcterms:created xsi:type="dcterms:W3CDTF">2016-10-04T13:21:14Z</dcterms:created>
  <dcterms:modified xsi:type="dcterms:W3CDTF">2016-10-26T16:24:53Z</dcterms:modified>
</cp:coreProperties>
</file>